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shboard" sheetId="1" r:id="rId1"/>
    <sheet name="Dati Magazzino" sheetId="2" r:id="rId2"/>
    <sheet name="Anagrafica Prodotti" sheetId="3" r:id="rId3"/>
    <sheet name="Riepilogo Magazzini" sheetId="4" r:id="rId4"/>
    <sheet name="Calcoli" sheetId="5" state="hidden" r:id="rId5"/>
  </sheets>
  <definedNames>
    <definedName name="Cat_DV">OFFSET('Riepilogo Magazzini'!$C$15,0,0,1,MAX(1,COUNTA('Riepilogo Magazzini'!$C$15:$H$15)))</definedName>
    <definedName name="Cat_List">'Riepilogo Magazzini'!$C$15:$H$15</definedName>
    <definedName name="F_Cat">'Dashboard'!$EO$61</definedName>
    <definedName name="F_City">'Dashboard'!$D$119</definedName>
    <definedName name="F_Month">'Dashboard'!$D$64</definedName>
    <definedName name="F_Status">'Dashboard'!$EM$101</definedName>
    <definedName name="F_WH">'Dashboard'!$BX$9</definedName>
    <definedName name="L_Cat">OFFSET(Calcoli!$U$3,0,0,1+COUNTA(Cat_List),1)</definedName>
    <definedName name="L_City">OFFSET(Calcoli!$S$3,0,0,1+COUNTA(WH_City),1)</definedName>
    <definedName name="L_Month">Calcoli!$T$3:$T$9</definedName>
    <definedName name="L_Prod">OFFSET('Anagrafica Prodotti'!$A$6,0,0,MAX(1,COUNTA('Anagrafica Prodotti'!$A$6:$A$505)),1)</definedName>
    <definedName name="L_Status">Calcoli!$V$3:$V$7</definedName>
    <definedName name="L_WH">OFFSET(Calcoli!$R$3,0,0,1+COUNTA(WH_Code),1)</definedName>
    <definedName name="Month_Labels">Calcoli!$C$15:$C$20</definedName>
    <definedName name="Month_Starts">Calcoli!$B$15:$B$20</definedName>
    <definedName name="N_Cat">Calcoli!$B$7</definedName>
    <definedName name="N_City">Calcoli!$B$5</definedName>
    <definedName name="N_Dmg">Calcoli!$B$10</definedName>
    <definedName name="N_Month">Calcoli!$B$6</definedName>
    <definedName name="N_Status">Calcoli!$B$8</definedName>
    <definedName name="N_Stock">Calcoli!$B$9</definedName>
    <definedName name="N_Util">Calcoli!$B$11</definedName>
    <definedName name="N_WH">Calcoli!$B$4</definedName>
    <definedName name="Open_Matrix">'Riepilogo Magazzini'!$C$16:$H$20</definedName>
    <definedName name="Period_Start">'Riepilogo Magazzini'!$D$24</definedName>
    <definedName name="_xlnm.Print_Area" localSheetId="0">Dashboard!$A$1:$FD$165</definedName>
    <definedName name="_xlnm.Print_Titles" localSheetId="1">'Dati Magazzino'!$5:$5</definedName>
    <definedName name="Thr_Dmg">'Dashboard'!$ET$117</definedName>
    <definedName name="Thr_Stock">'Dashboard'!$ET$110</definedName>
    <definedName name="Thr_Util">'Dashboard'!$ET$123</definedName>
    <definedName name="WH_Cap">'Riepilogo Magazzini'!$D$7:$D$11</definedName>
    <definedName name="WH_City">'Riepilogo Magazzini'!$C$7:$C$11</definedName>
    <definedName name="WH_Code">'Riepilogo Magazzini'!$B$7:$B$11</definedName>
    <definedName name="WH_List">OFFSET('Riepilogo Magazzini'!$B$7,0,0,MAX(1,COUNTA('Riepilogo Magazzini'!$B$7:$B$11)),1)</definedName>
    <definedName name="WH_Open">'Riepilogo Magazzini'!$E$7:$E$11</definedName>
  </definedNames>
  <calcPr calcId="124519" fullCalcOnLoad="1"/>
</workbook>
</file>

<file path=xl/sharedStrings.xml><?xml version="1.0" encoding="utf-8"?>
<sst xmlns="http://schemas.openxmlformats.org/spreadsheetml/2006/main" count="282" uniqueCount="171">
  <si>
    <r>
      <rPr>
        <sz val="16"/>
        <color rgb="FFFFFFFF"/>
        <rFont val="Segoe UI Black"/>
        <family val="2"/>
      </rPr>
      <t xml:space="preserve">RIEPILOGO MAGAZZINI   </t>
    </r>
    <r>
      <rPr>
        <sz val="10"/>
        <color rgb="FFF6C453"/>
        <rFont val="Segoe UI"/>
        <family val="2"/>
      </rPr>
      <t>Dashboard Gestione Magazzino</t>
    </r>
  </si>
  <si>
    <t>Anagrafica magazzini, giacenze iniziali, impostazioni del periodo e riepilogo complessivo</t>
  </si>
  <si>
    <t>◄ Dashboard</t>
  </si>
  <si>
    <t>Dati</t>
  </si>
  <si>
    <t>Prodotti</t>
  </si>
  <si>
    <t>Riepilogo</t>
  </si>
  <si>
    <r>
      <rPr>
        <b/>
        <sz val="10"/>
        <color rgb="FF1F4E9A"/>
        <rFont val="Segoe UI"/>
        <family val="2"/>
      </rPr>
      <t xml:space="preserve">■ </t>
    </r>
    <r>
      <rPr>
        <sz val="8.5"/>
        <color rgb="FF5B6B82"/>
        <rFont val="Segoe UI"/>
        <family val="2"/>
      </rPr>
      <t xml:space="preserve">Celle bianche con testo blu = da compilare        </t>
    </r>
    <r>
      <rPr>
        <sz val="10"/>
        <color rgb="FF9AA8BA"/>
        <rFont val="Segoe UI"/>
        <family val="2"/>
      </rPr>
      <t xml:space="preserve">■ </t>
    </r>
    <r>
      <rPr>
        <sz val="8.5"/>
        <color rgb="FF5B6B82"/>
        <rFont val="Segoe UI"/>
        <family val="2"/>
      </rPr>
      <t>Celle grigie = calcolate in automatico (non modificare)</t>
    </r>
  </si>
  <si>
    <t>1 · ANAGRAFICA MAGAZZINI</t>
  </si>
  <si>
    <t>Codici, città e capacità (unità di stoccaggio). La dashboard gestisce 5 magazzini e 6 categorie.</t>
  </si>
  <si>
    <t>Codice</t>
  </si>
  <si>
    <t>Città</t>
  </si>
  <si>
    <t>Capacità (unità)</t>
  </si>
  <si>
    <t>Giacenza iniziale totale</t>
  </si>
  <si>
    <t>2 · GIACENZA INIZIALE PER CATEGORIA (unità)</t>
  </si>
  <si>
    <t>Stock presente prima del primo movimento registrato.</t>
  </si>
  <si>
    <t>Magazzino</t>
  </si>
  <si>
    <t>Totale</t>
  </si>
  <si>
    <t>Le intestazioni blu delle categorie sono modificabili: usa gli stessi nomi in Anagrafica Prodotti.</t>
  </si>
  <si>
    <t>3 · IMPOSTAZIONI</t>
  </si>
  <si>
    <t>Mese iniziale del periodo</t>
  </si>
  <si>
    <t>La dashboard mostra 6 mesi a partire da questo mese (conta solo mese e anno).</t>
  </si>
  <si>
    <t>4 · RIEPILOGO PRESTAZIONI — intero registro, senza filtri</t>
  </si>
  <si>
    <t>Movimenti</t>
  </si>
  <si>
    <t>Ricevuti</t>
  </si>
  <si>
    <t>Spediti</t>
  </si>
  <si>
    <t>Danneggiati</t>
  </si>
  <si>
    <t>Tasso danni</t>
  </si>
  <si>
    <t>Giacenza attuale</t>
  </si>
  <si>
    <t>Capacità</t>
  </si>
  <si>
    <t>Utilizzo</t>
  </si>
  <si>
    <t>Costo stoccaggio</t>
  </si>
  <si>
    <t>Costo movimentazione</t>
  </si>
  <si>
    <t>Movimenti con alert</t>
  </si>
  <si>
    <t>GUIDA RAPIDA</t>
  </si>
  <si>
    <t>1. Registra i movimenti nel foglio «Dati Magazzino»: una riga per movimento (data, magazzino, codice prodotto, quantità, costi). Le colonne grigie si calcolano da sole.</t>
  </si>
  <si>
    <t>2. Tieni aggiornati qui magazzini, capacità e giacenze iniziali; i prodotti e le loro categorie vanno in «Anagrafica Prodotti».</t>
  </si>
  <si>
    <t>3. In «Dashboard» scegli i filtri dai menu a tendina (▼): magazzino (in alto), mese, città, categoria e stato. I pulsanti colorati mostrano la selezione attiva.</t>
  </si>
  <si>
    <t>4. Le soglie di allerta (scorta bassa, danni elevati, utilizzo alto) si cambiano nel riquadro «Soglie» della Dashboard (celle bianche).</t>
  </si>
  <si>
    <t>5. «Vs mese prec.»: con Mese = Tutti confronta l'ultimo mese con movimenti con quello precedente; con un mese scelto, lo confronta col mese prima.</t>
  </si>
  <si>
    <t>6. La Dashboard è protetta senza password per evitare modifiche accidentali: Revisione › Rimuovi protezione foglio.</t>
  </si>
  <si>
    <t>7. Il file parte vuoto: inserisci magazzini e categorie qui (sezioni 1 e 2, dall'alto senza lasciare righe vuote), i prodotti in «Anagrafica Prodotti» e poi i movimenti in «Dati Magazzino».</t>
  </si>
  <si>
    <t>Icone: Tabler Icons (tabler.io/icons) — licenza MIT, © Paweł Kuna.</t>
  </si>
  <si>
    <r>
      <rPr>
        <sz val="16"/>
        <color rgb="FFFFFFFF"/>
        <rFont val="Segoe UI Black"/>
        <family val="2"/>
      </rPr>
      <t xml:space="preserve">ANAGRAFICA PRODOTTI   </t>
    </r>
    <r>
      <rPr>
        <sz val="10"/>
        <color rgb="FFF6C453"/>
        <rFont val="Segoe UI"/>
        <family val="2"/>
      </rPr>
      <t>Dashboard Gestione Magazzino</t>
    </r>
  </si>
  <si>
    <t>Elenco prodotti con categoria: il codice prodotto è quello da usare nei movimenti</t>
  </si>
  <si>
    <t>Prodotto</t>
  </si>
  <si>
    <t>Categoria</t>
  </si>
  <si>
    <t>UdM</t>
  </si>
  <si>
    <r>
      <rPr>
        <sz val="16"/>
        <color rgb="FFFFFFFF"/>
        <rFont val="Segoe UI Black"/>
        <family val="2"/>
      </rPr>
      <t xml:space="preserve">DATI MAGAZZINO   </t>
    </r>
    <r>
      <rPr>
        <sz val="10"/>
        <color rgb="FFF6C453"/>
        <rFont val="Segoe UI"/>
        <family val="2"/>
      </rPr>
      <t>Dashboard Gestione Magazzino</t>
    </r>
  </si>
  <si>
    <t>Registro movimenti (una riga per movimento): inserisci qui i tuoi dati</t>
  </si>
  <si>
    <t>ID</t>
  </si>
  <si>
    <t>Data</t>
  </si>
  <si>
    <t>Mese</t>
  </si>
  <si>
    <t>Codice prodotto</t>
  </si>
  <si>
    <t>Giacenza dopo</t>
  </si>
  <si>
    <t>Utilizzo magazzino</t>
  </si>
  <si>
    <t>Scorta bassa</t>
  </si>
  <si>
    <t>Danni elevati</t>
  </si>
  <si>
    <t>Utilizzo alto</t>
  </si>
  <si>
    <t>Stato</t>
  </si>
  <si>
    <t>Inizio mese</t>
  </si>
  <si>
    <t>Indice mese</t>
  </si>
  <si>
    <t>Filtro giacenza</t>
  </si>
  <si>
    <t>Filtro flussi</t>
  </si>
  <si>
    <t>Per aggiungere un movimento scrivi nella prima riga vuota sotto la tabella: la tabella si estende e le colonne grigie si compilano da sole.</t>
  </si>
  <si>
    <t>Colonne tecniche nascoste (Inizio mese → Filtro flussi): premi il pulsante [+] sopra le colonne per vederle.</t>
  </si>
  <si>
    <t>CALCOLI — foglio tecnico della dashboard (non modificare)</t>
  </si>
  <si>
    <t>A · FILTRI E SOGLIE (dalla Dashboard)</t>
  </si>
  <si>
    <t>Filtro magazzino</t>
  </si>
  <si>
    <t>Filtro città</t>
  </si>
  <si>
    <t>Filtro mese</t>
  </si>
  <si>
    <t>Filtro categoria</t>
  </si>
  <si>
    <t>Filtro stato</t>
  </si>
  <si>
    <t>Soglia scorta bassa (&lt;)</t>
  </si>
  <si>
    <t>Soglia danni elevati (&gt;)</t>
  </si>
  <si>
    <t>Soglia utilizzo alto (&gt;)</t>
  </si>
  <si>
    <t>B · PERIODO</t>
  </si>
  <si>
    <t>Mese n.</t>
  </si>
  <si>
    <t>Etichetta</t>
  </si>
  <si>
    <t>Fine mese</t>
  </si>
  <si>
    <t>Mese selezionato (0 = tutti)</t>
  </si>
  <si>
    <t>Indice mese da</t>
  </si>
  <si>
    <t>Indice mese a</t>
  </si>
  <si>
    <t>Data fine periodo (giacenza)</t>
  </si>
  <si>
    <t>Mese di riferimento (confronto)</t>
  </si>
  <si>
    <t>Inizio mese riferimento</t>
  </si>
  <si>
    <t>Inizio mese precedente</t>
  </si>
  <si>
    <t>Fine mese riferimento</t>
  </si>
  <si>
    <t>Fine mese precedente</t>
  </si>
  <si>
    <t>Etichetta mese riferimento</t>
  </si>
  <si>
    <t>Etichetta mese precedente</t>
  </si>
  <si>
    <t>C · PER MAGAZZINO (contesto filtrato)</t>
  </si>
  <si>
    <t>Incluso</t>
  </si>
  <si>
    <t>Giacenza iniziale</t>
  </si>
  <si>
    <t>Giacenza finale</t>
  </si>
  <si>
    <t>Giacenza fine mese rif.</t>
  </si>
  <si>
    <t>Giacenza fine mese prec.</t>
  </si>
  <si>
    <t>D · PER CATEGORIA</t>
  </si>
  <si>
    <t>Inclusa</t>
  </si>
  <si>
    <t>Quota ricevuti</t>
  </si>
  <si>
    <t>E · PER MESE (andamento: ignora il filtro Mese)</t>
  </si>
  <si>
    <t>Selezionato</t>
  </si>
  <si>
    <t>F · KPI</t>
  </si>
  <si>
    <t>Utilizzo medio (giacenza/capacità)</t>
  </si>
  <si>
    <t>Capacità totale</t>
  </si>
  <si>
    <t>Ricevuti mese rif.</t>
  </si>
  <si>
    <t>Ricevuti mese prec.</t>
  </si>
  <si>
    <t>Spediti mese rif.</t>
  </si>
  <si>
    <t>Spediti mese prec.</t>
  </si>
  <si>
    <t>Danneggiati mese rif.</t>
  </si>
  <si>
    <t>Danneggiati mese prec.</t>
  </si>
  <si>
    <t>Utilizzo fine mese rif.</t>
  </si>
  <si>
    <t>Utilizzo fine mese prec.</t>
  </si>
  <si>
    <t>Δ Ricevuti</t>
  </si>
  <si>
    <t>Δ Spediti</t>
  </si>
  <si>
    <t>Δ Giacenza</t>
  </si>
  <si>
    <t>Δ Danneggiati</t>
  </si>
  <si>
    <t>Δ Utilizzo (punti percentuali)</t>
  </si>
  <si>
    <t>Didascalia confronto</t>
  </si>
  <si>
    <t>G · STATO (grafico a ciambella: ignora il filtro Stato)</t>
  </si>
  <si>
    <t>Nessun alert</t>
  </si>
  <si>
    <t>Movimenti nel contesto</t>
  </si>
  <si>
    <t>Movimenti critici</t>
  </si>
  <si>
    <t>H · ELENCHI MENU</t>
  </si>
  <si>
    <t>Tutti</t>
  </si>
  <si>
    <t>Tutte</t>
  </si>
  <si>
    <t>Stato critico</t>
  </si>
  <si>
    <r>
      <rPr>
        <sz val="24"/>
        <color rgb="FFFFFFFF"/>
        <rFont val="Segoe UI Black"/>
        <family val="2"/>
      </rPr>
      <t xml:space="preserve">DASHBOARD </t>
    </r>
    <r>
      <rPr>
        <sz val="24"/>
        <color rgb="FFF6C453"/>
        <rFont val="Segoe UI Black"/>
        <family val="2"/>
      </rPr>
      <t xml:space="preserve">GESTIONE </t>
    </r>
    <r>
      <rPr>
        <sz val="24"/>
        <color rgb="FFFFFFFF"/>
        <rFont val="Segoe UI Black"/>
        <family val="2"/>
      </rPr>
      <t>MAGAZZINO</t>
    </r>
  </si>
  <si>
    <t>Traccia  •  Monitora  •  Ottimizza  •  Migliora</t>
  </si>
  <si>
    <t>Seleziona magazzino:</t>
  </si>
  <si>
    <t>▼</t>
  </si>
  <si>
    <t>Oggi</t>
  </si>
  <si>
    <t>Dashboard</t>
  </si>
  <si>
    <t>Dati
Magazzino</t>
  </si>
  <si>
    <t>Anagrafica
Prodotti</t>
  </si>
  <si>
    <t>Riepilogo
Magazzini</t>
  </si>
  <si>
    <t>Come si usa</t>
  </si>
  <si>
    <t>Scegli i filtri dai menu ▼ (il magazzino si sceglie in alto). Registra i movimenti nel foglio Dati Magazzino. Le soglie di allerta si cambiano nel riquadro Soglie.</t>
  </si>
  <si>
    <t>Dati Magazzino</t>
  </si>
  <si>
    <t>Anagrafica Prodotti</t>
  </si>
  <si>
    <t>Riepilogo Magazzini</t>
  </si>
  <si>
    <t>RICEVUTI TOTALI</t>
  </si>
  <si>
    <t>SPEDITI TOTALI</t>
  </si>
  <si>
    <t>GIACENZA FINALE</t>
  </si>
  <si>
    <t>ARTICOLI DANNEGGIATI</t>
  </si>
  <si>
    <t>UTILIZZO MEDIO %</t>
  </si>
  <si>
    <t>COSTO STOCCAGGIO</t>
  </si>
  <si>
    <t>COSTO MOVIMENTAZIONE</t>
  </si>
  <si>
    <t>CAPACITÀ TOTALE</t>
  </si>
  <si>
    <t>TASSO DANNI %</t>
  </si>
  <si>
    <t>MOVIMENTI</t>
  </si>
  <si>
    <t>Conteggio / Stato</t>
  </si>
  <si>
    <t>■</t>
  </si>
  <si>
    <t>Ricevuti vs Spediti per magazzino</t>
  </si>
  <si>
    <t>Danneggiati per categoria</t>
  </si>
  <si>
    <t>Utilizzo magazzini %</t>
  </si>
  <si>
    <t>Capacità vs Giacenza finale</t>
  </si>
  <si>
    <t>Andamento movimenti mensili</t>
  </si>
  <si>
    <t>Quota categorie (ricevuti)</t>
  </si>
  <si>
    <t>Soglie</t>
  </si>
  <si>
    <t>&lt;</t>
  </si>
  <si>
    <t>u.</t>
  </si>
  <si>
    <t>&gt;</t>
  </si>
  <si>
    <t>pz</t>
  </si>
  <si>
    <t/>
  </si>
  <si>
    <t>≥</t>
  </si>
  <si>
    <t>2 allerte</t>
  </si>
  <si>
    <t>Cambia i valori nelle caselle bianche per modificare le soglie di allerta.</t>
  </si>
  <si>
    <t>RIEPILOGO PRESTAZIONI MAGAZZINI</t>
  </si>
  <si>
    <t>Utilizzo %</t>
  </si>
  <si>
    <t>RIEPILOGO PER CATEGORIA</t>
  </si>
  <si>
    <t>MOVIMENTI MENSILI</t>
  </si>
</sst>
</file>

<file path=xl/styles.xml><?xml version="1.0" encoding="utf-8"?>
<styleSheet xmlns="http://schemas.openxmlformats.org/spreadsheetml/2006/main">
  <numFmts count="14">
    <numFmt numFmtId="164" formatCode="dd-mmm-yyyy"/>
    <numFmt numFmtId="165" formatCode="#,##0"/>
    <numFmt numFmtId="166" formatCode="0.0%"/>
    <numFmt numFmtId="167" formatCode="+0.0%;-0.0%;0.0%"/>
    <numFmt numFmtId="168" formatCode="+0.0&quot; p.p.&quot;;-0.0&quot; p.p.&quot;;0.0&quot; p.p.&quot;"/>
    <numFmt numFmtId="169" formatCode="&quot;€ &quot;#,##0"/>
    <numFmt numFmtId="170" formatCode="0%"/>
    <numFmt numFmtId="171" formatCode="#,##0;-#,##0;&quot;–&quot;"/>
    <numFmt numFmtId="172" formatCode="0.0%;-0.0%;&quot;–&quot;"/>
    <numFmt numFmtId="173" formatCode="dd/mm/yyyy"/>
    <numFmt numFmtId="174" formatCode="&quot;●&quot;;;&quot;&quot;"/>
    <numFmt numFmtId="175" formatCode="mmm-yy"/>
    <numFmt numFmtId="176" formatCode="mmm-yyyy"/>
    <numFmt numFmtId="177" formatCode="0.0000"/>
  </numFmts>
  <fonts count="57">
    <font>
      <sz val="11"/>
      <color theme="1"/>
      <name val="Calibri"/>
      <family val="2"/>
      <scheme val="minor"/>
    </font>
    <font>
      <sz val="24"/>
      <color rgb="FFFFFFFF"/>
      <name val="Segoe UI Black"/>
      <family val="2"/>
    </font>
    <font>
      <sz val="10"/>
      <color rgb="FFFFFFFF"/>
      <name val="Segoe UI Semibold"/>
      <family val="2"/>
    </font>
    <font>
      <sz val="9.5"/>
      <color rgb="FFBFD0E8"/>
      <name val="Segoe UI"/>
      <family val="2"/>
    </font>
    <font>
      <sz val="10.5"/>
      <color rgb="FF1B2A41"/>
      <name val="Segoe UI"/>
      <family val="2"/>
    </font>
    <font>
      <sz val="8"/>
      <color rgb="FF5B6B82"/>
      <name val="Segoe UI"/>
      <family val="2"/>
    </font>
    <font>
      <b/>
      <sz val="13"/>
      <color rgb="FFFFFFFF"/>
      <name val="Segoe UI"/>
      <family val="2"/>
    </font>
    <font>
      <sz val="10.5"/>
      <color rgb="FFB9CBE6"/>
      <name val="Segoe UI"/>
      <family val="2"/>
    </font>
    <font>
      <b/>
      <sz val="10"/>
      <color rgb="FF1B2A41"/>
      <name val="Segoe UI"/>
      <family val="2"/>
    </font>
    <font>
      <b/>
      <sz val="10.5"/>
      <color rgb="FF1B2A41"/>
      <name val="Segoe UI"/>
      <family val="2"/>
    </font>
    <font>
      <b/>
      <sz val="9"/>
      <color rgb="FFFFFFFF"/>
      <name val="Segoe UI"/>
      <family val="2"/>
    </font>
    <font>
      <b/>
      <sz val="22"/>
      <color rgb="FFFFFFFF"/>
      <name val="Segoe UI"/>
      <family val="2"/>
    </font>
    <font>
      <sz val="9"/>
      <color rgb="FFFFFFFF"/>
      <name val="Segoe UI Semibold"/>
      <family val="2"/>
    </font>
    <font>
      <sz val="10"/>
      <color rgb="FFD2502A"/>
      <name val="Segoe UI"/>
      <family val="2"/>
    </font>
    <font>
      <b/>
      <sz val="8"/>
      <color rgb="FF1B2A41"/>
      <name val="Segoe UI"/>
      <family val="2"/>
    </font>
    <font>
      <sz val="7.5"/>
      <color rgb="FF5B6B82"/>
      <name val="Segoe UI"/>
      <family val="2"/>
    </font>
    <font>
      <sz val="9"/>
      <color rgb="FFFFFFFF"/>
      <name val="Segoe UI"/>
      <family val="2"/>
    </font>
    <font>
      <sz val="9.5"/>
      <color rgb="FFFFFFFF"/>
      <name val="Segoe UI Semibold"/>
      <family val="2"/>
    </font>
    <font>
      <sz val="8"/>
      <color rgb="FFDCE6F3"/>
      <name val="Segoe UI"/>
      <family val="2"/>
    </font>
    <font>
      <sz val="10"/>
      <color rgb="FF163F7A"/>
      <name val="Segoe UI"/>
      <family val="2"/>
    </font>
    <font>
      <b/>
      <sz val="14"/>
      <color rgb="FF1B2A41"/>
      <name val="Segoe UI"/>
      <family val="2"/>
    </font>
    <font>
      <b/>
      <sz val="8.5"/>
      <color rgb="FFCFE6D8"/>
      <name val="Segoe UI"/>
      <family val="2"/>
    </font>
    <font>
      <sz val="10"/>
      <color rgb="FFEDA43A"/>
      <name val="Segoe UI"/>
      <family val="2"/>
    </font>
    <font>
      <b/>
      <sz val="17"/>
      <color rgb="FFFFFFFF"/>
      <name val="Segoe UI"/>
      <family val="2"/>
    </font>
    <font>
      <b/>
      <sz val="10"/>
      <color rgb="FF12305C"/>
      <name val="Segoe UI"/>
      <family val="2"/>
    </font>
    <font>
      <b/>
      <sz val="10.5"/>
      <color rgb="FF1F3A17"/>
      <name val="Segoe UI"/>
      <family val="2"/>
    </font>
    <font>
      <sz val="8.5"/>
      <color rgb="FF1B2A41"/>
      <name val="Segoe UI"/>
      <family val="2"/>
    </font>
    <font>
      <sz val="7"/>
      <color rgb="FF5B6B82"/>
      <name val="Segoe UI"/>
      <family val="2"/>
    </font>
    <font>
      <sz val="9"/>
      <color rgb="FF1B2A41"/>
      <name val="Segoe UI"/>
      <family val="2"/>
    </font>
    <font>
      <sz val="8.5"/>
      <color rgb="FF23401A"/>
      <name val="Segoe UI Semibold"/>
      <family val="2"/>
    </font>
    <font>
      <sz val="8"/>
      <color rgb="FFFFFFFF"/>
      <name val="Segoe UI Semibold"/>
      <family val="2"/>
    </font>
    <font>
      <sz val="9"/>
      <color rgb="FF23401A"/>
      <name val="Segoe UI"/>
      <family val="2"/>
    </font>
    <font>
      <sz val="8"/>
      <color rgb="FF23401A"/>
      <name val="Segoe UI"/>
      <family val="2"/>
    </font>
    <font>
      <b/>
      <sz val="8.5"/>
      <color rgb="FF1B2A41"/>
      <name val="Segoe UI"/>
      <family val="2"/>
    </font>
    <font>
      <b/>
      <sz val="8.5"/>
      <color rgb="FF23401A"/>
      <name val="Segoe UI"/>
      <family val="2"/>
    </font>
    <font>
      <i/>
      <sz val="7.5"/>
      <color rgb="FF4E6B45"/>
      <name val="Segoe UI"/>
      <family val="2"/>
    </font>
    <font>
      <b/>
      <sz val="9.5"/>
      <color rgb="FF1B2A41"/>
      <name val="Segoe UI"/>
      <family val="2"/>
    </font>
    <font>
      <b/>
      <sz val="8"/>
      <color rgb="FFFFFFFF"/>
      <name val="Segoe UI"/>
      <family val="2"/>
    </font>
    <font>
      <b/>
      <sz val="9"/>
      <color rgb="FFF2B632"/>
      <name val="Segoe UI"/>
      <family val="2"/>
    </font>
    <font>
      <sz val="8"/>
      <color rgb="FFC3D2E8"/>
      <name val="Segoe UI"/>
      <family val="2"/>
    </font>
    <font>
      <sz val="16"/>
      <color rgb="FFFFFFFF"/>
      <name val="Segoe UI Black"/>
      <family val="2"/>
    </font>
    <font>
      <sz val="9"/>
      <color rgb="FF1B2A41"/>
      <name val="Segoe UI Semibold"/>
      <family val="2"/>
    </font>
    <font>
      <sz val="9"/>
      <color rgb="FFC3D2E8"/>
      <name val="Segoe UI"/>
      <family val="2"/>
    </font>
    <font>
      <sz val="8.5"/>
      <color rgb="FF5B6B82"/>
      <name val="Segoe UI"/>
      <family val="2"/>
    </font>
    <font>
      <b/>
      <sz val="8.5"/>
      <color rgb="FFFFFFFF"/>
      <name val="Segoe UI"/>
      <family val="2"/>
    </font>
    <font>
      <sz val="9.5"/>
      <color rgb="FF1F4E9A"/>
      <name val="Segoe UI"/>
      <family val="2"/>
    </font>
    <font>
      <sz val="9.5"/>
      <color rgb="FF44546A"/>
      <name val="Segoe UI"/>
      <family val="2"/>
    </font>
    <font>
      <sz val="8.5"/>
      <color rgb="FF8795A8"/>
      <name val="Segoe UI"/>
      <family val="2"/>
    </font>
    <font>
      <i/>
      <sz val="8.5"/>
      <color rgb="FF5B6B82"/>
      <name val="Segoe UI"/>
      <family val="2"/>
    </font>
    <font>
      <b/>
      <sz val="9.5"/>
      <color rgb="FFFFFFFF"/>
      <name val="Segoe UI"/>
      <family val="2"/>
    </font>
    <font>
      <sz val="10"/>
      <color rgb="FF1F4E9A"/>
      <name val="Segoe UI"/>
      <family val="2"/>
    </font>
    <font>
      <sz val="10"/>
      <color rgb="FF44546A"/>
      <name val="Segoe UI"/>
      <family val="2"/>
    </font>
    <font>
      <b/>
      <sz val="11"/>
      <color rgb="FF1B2A41"/>
      <name val="Segoe UI"/>
      <family val="2"/>
    </font>
    <font>
      <sz val="10"/>
      <color rgb="FF1B2A41"/>
      <name val="Segoe UI"/>
      <family val="2"/>
    </font>
    <font>
      <sz val="9.5"/>
      <color rgb="FF1B2A41"/>
      <name val="Segoe UI"/>
      <family val="2"/>
    </font>
    <font>
      <b/>
      <sz val="12"/>
      <color rgb="FF1B2A41"/>
      <name val="Segoe UI"/>
      <family val="2"/>
    </font>
    <font>
      <b/>
      <sz val="9"/>
      <color rgb="FF1B2A41"/>
      <name val="Segoe UI"/>
      <family val="2"/>
    </font>
  </fonts>
  <fills count="32">
    <fill>
      <patternFill patternType="none"/>
    </fill>
    <fill>
      <patternFill patternType="gray125"/>
    </fill>
    <fill>
      <patternFill patternType="solid">
        <fgColor rgb="FF0A2F5E"/>
        <bgColor indexed="64"/>
      </patternFill>
    </fill>
    <fill>
      <patternFill patternType="solid">
        <fgColor rgb="FF0728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C3363"/>
        <bgColor indexed="64"/>
      </patternFill>
    </fill>
    <fill>
      <patternFill patternType="solid">
        <fgColor rgb="FFDCE4EC"/>
        <bgColor indexed="64"/>
      </patternFill>
    </fill>
    <fill>
      <patternFill patternType="solid">
        <fgColor rgb="FFF2B632"/>
        <bgColor indexed="64"/>
      </patternFill>
    </fill>
    <fill>
      <patternFill patternType="solid">
        <fgColor rgb="FF184A8C"/>
        <bgColor indexed="64"/>
      </patternFill>
    </fill>
    <fill>
      <patternFill patternType="solid">
        <fgColor rgb="FF12766B"/>
        <bgColor indexed="64"/>
      </patternFill>
    </fill>
    <fill>
      <patternFill patternType="solid">
        <fgColor rgb="FFE2691F"/>
        <bgColor indexed="64"/>
      </patternFill>
    </fill>
    <fill>
      <patternFill patternType="solid">
        <fgColor rgb="FF4B2D84"/>
        <bgColor indexed="64"/>
      </patternFill>
    </fill>
    <fill>
      <patternFill patternType="solid">
        <fgColor rgb="FF1B58A8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07234A"/>
        <bgColor indexed="64"/>
      </patternFill>
    </fill>
    <fill>
      <patternFill patternType="solid">
        <fgColor rgb="FF16553A"/>
        <bgColor indexed="64"/>
      </patternFill>
    </fill>
    <fill>
      <patternFill patternType="solid">
        <fgColor rgb="FFCDDDF0"/>
        <bgColor indexed="64"/>
      </patternFill>
    </fill>
    <fill>
      <patternFill patternType="solid">
        <fgColor rgb="FFDDEBD4"/>
        <bgColor indexed="64"/>
      </patternFill>
    </fill>
    <fill>
      <patternFill patternType="solid">
        <fgColor rgb="FFBCD7AC"/>
        <bgColor indexed="64"/>
      </patternFill>
    </fill>
    <fill>
      <patternFill patternType="solid">
        <fgColor rgb="FF1E5C9B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0A2B57"/>
        <bgColor indexed="64"/>
      </patternFill>
    </fill>
    <fill>
      <patternFill patternType="solid">
        <fgColor rgb="FFEDF2F8"/>
        <bgColor indexed="64"/>
      </patternFill>
    </fill>
    <fill>
      <patternFill patternType="solid">
        <fgColor rgb="FFDDE6F0"/>
        <bgColor indexed="64"/>
      </patternFill>
    </fill>
    <fill>
      <patternFill patternType="solid">
        <fgColor rgb="FF061E43"/>
        <bgColor indexed="64"/>
      </patternFill>
    </fill>
    <fill>
      <patternFill patternType="solid">
        <fgColor rgb="FF1560B0"/>
        <bgColor indexed="64"/>
      </patternFill>
    </fill>
    <fill>
      <patternFill patternType="solid">
        <fgColor rgb="FF0E3362"/>
        <bgColor indexed="64"/>
      </patternFill>
    </fill>
    <fill>
      <patternFill patternType="solid">
        <fgColor rgb="FFF3F6FA"/>
        <bgColor indexed="64"/>
      </patternFill>
    </fill>
    <fill>
      <patternFill patternType="solid">
        <fgColor rgb="FF6B7A90"/>
        <bgColor indexed="64"/>
      </patternFill>
    </fill>
    <fill>
      <patternFill patternType="solid">
        <fgColor rgb="FF98A4B5"/>
        <bgColor indexed="64"/>
      </patternFill>
    </fill>
    <fill>
      <patternFill patternType="solid">
        <fgColor rgb="FFF1F4F8"/>
        <bgColor indexed="64"/>
      </patternFill>
    </fill>
    <fill>
      <patternFill patternType="solid">
        <fgColor rgb="FFE9EDF2"/>
        <bgColor indexed="64"/>
      </patternFill>
    </fill>
  </fills>
  <borders count="7">
    <border>
      <left/>
      <right/>
      <top/>
      <bottom/>
      <diagonal/>
    </border>
    <border>
      <left style="thin">
        <color rgb="FF3C5E8C"/>
      </left>
      <right/>
      <top/>
      <bottom/>
      <diagonal/>
    </border>
    <border>
      <left style="thin">
        <color rgb="FF4A8866"/>
      </left>
      <right/>
      <top/>
      <bottom/>
      <diagonal/>
    </border>
    <border>
      <left style="thin">
        <color rgb="FF9DB98C"/>
      </left>
      <right style="thin">
        <color rgb="FF9DB98C"/>
      </right>
      <top style="thin">
        <color rgb="FF9DB98C"/>
      </top>
      <bottom style="thin">
        <color rgb="FF9DB98C"/>
      </bottom>
      <diagonal/>
    </border>
    <border>
      <left style="medium">
        <color rgb="FF0A2F5E"/>
      </left>
      <right style="medium">
        <color rgb="FF0A2F5E"/>
      </right>
      <top style="medium">
        <color rgb="FF0A2F5E"/>
      </top>
      <bottom style="medium">
        <color rgb="FF0A2F5E"/>
      </bottom>
      <diagonal/>
    </border>
    <border>
      <left style="thin">
        <color rgb="FFD5DEE8"/>
      </left>
      <right style="thin">
        <color rgb="FFD5DEE8"/>
      </right>
      <top style="thin">
        <color rgb="FFD5DEE8"/>
      </top>
      <bottom style="thin">
        <color rgb="FFD5DEE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3" borderId="0" xfId="0" applyFill="1"/>
    <xf numFmtId="0" fontId="0" fillId="2" borderId="1" xfId="0" applyFill="1" applyBorder="1"/>
    <xf numFmtId="0" fontId="3" fillId="3" borderId="0" xfId="0" applyFont="1" applyFill="1" applyAlignment="1">
      <alignment horizontal="left" vertical="center"/>
    </xf>
    <xf numFmtId="0" fontId="4" fillId="4" borderId="0" xfId="0" applyFont="1" applyFill="1" applyAlignment="1" applyProtection="1">
      <alignment horizontal="left" vertical="center" indent="1"/>
      <protection locked="0"/>
    </xf>
    <xf numFmtId="0" fontId="5" fillId="4" borderId="0" xfId="0" applyFont="1" applyFill="1" applyAlignment="1">
      <alignment horizontal="center" vertical="center"/>
    </xf>
    <xf numFmtId="164" fontId="6" fillId="3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top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8" fillId="7" borderId="0" xfId="0" applyFont="1" applyFill="1" applyAlignment="1">
      <alignment horizontal="left" vertical="center" wrapText="1"/>
    </xf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9" fillId="13" borderId="0" xfId="0" applyFont="1" applyFill="1" applyAlignment="1">
      <alignment horizontal="left" vertical="center"/>
    </xf>
    <xf numFmtId="0" fontId="10" fillId="8" borderId="0" xfId="0" applyFont="1" applyFill="1" applyAlignment="1">
      <alignment horizontal="left" vertical="center"/>
    </xf>
    <xf numFmtId="0" fontId="10" fillId="9" borderId="0" xfId="0" applyFont="1" applyFill="1" applyAlignment="1">
      <alignment horizontal="left" vertical="center"/>
    </xf>
    <xf numFmtId="0" fontId="10" fillId="10" borderId="0" xfId="0" applyFont="1" applyFill="1" applyAlignment="1">
      <alignment horizontal="left" vertical="center"/>
    </xf>
    <xf numFmtId="0" fontId="10" fillId="11" borderId="0" xfId="0" applyFont="1" applyFill="1" applyAlignment="1">
      <alignment horizontal="left" vertical="center"/>
    </xf>
    <xf numFmtId="0" fontId="10" fillId="12" borderId="0" xfId="0" applyFont="1" applyFill="1" applyAlignment="1">
      <alignment horizontal="left" vertical="center"/>
    </xf>
    <xf numFmtId="165" fontId="11" fillId="8" borderId="0" xfId="0" applyNumberFormat="1" applyFont="1" applyFill="1" applyAlignment="1">
      <alignment horizontal="left" vertical="center"/>
    </xf>
    <xf numFmtId="165" fontId="11" fillId="9" borderId="0" xfId="0" applyNumberFormat="1" applyFont="1" applyFill="1" applyAlignment="1">
      <alignment horizontal="left" vertical="center"/>
    </xf>
    <xf numFmtId="165" fontId="11" fillId="10" borderId="0" xfId="0" applyNumberFormat="1" applyFont="1" applyFill="1" applyAlignment="1">
      <alignment horizontal="left" vertical="center"/>
    </xf>
    <xf numFmtId="165" fontId="11" fillId="11" borderId="0" xfId="0" applyNumberFormat="1" applyFont="1" applyFill="1" applyAlignment="1">
      <alignment horizontal="left" vertical="center"/>
    </xf>
    <xf numFmtId="166" fontId="11" fillId="12" borderId="0" xfId="0" applyNumberFormat="1" applyFont="1" applyFill="1" applyAlignment="1">
      <alignment horizontal="left" vertical="center"/>
    </xf>
    <xf numFmtId="0" fontId="0" fillId="14" borderId="0" xfId="0" applyFill="1"/>
    <xf numFmtId="0" fontId="12" fillId="14" borderId="0" xfId="0" applyFont="1" applyFill="1" applyAlignment="1">
      <alignment horizontal="left" vertical="center" wrapText="1"/>
    </xf>
    <xf numFmtId="0" fontId="13" fillId="13" borderId="0" xfId="0" applyFont="1" applyFill="1" applyAlignment="1">
      <alignment horizontal="center" vertical="center"/>
    </xf>
    <xf numFmtId="0" fontId="14" fillId="13" borderId="0" xfId="0" applyFont="1" applyFill="1" applyAlignment="1">
      <alignment horizontal="left" vertical="center"/>
    </xf>
    <xf numFmtId="0" fontId="15" fillId="13" borderId="0" xfId="0" applyFont="1" applyFill="1" applyAlignment="1">
      <alignment horizontal="left" vertical="top" wrapText="1"/>
    </xf>
    <xf numFmtId="0" fontId="16" fillId="8" borderId="0" xfId="0" applyFont="1" applyFill="1" applyAlignment="1">
      <alignment horizontal="center" vertical="center"/>
    </xf>
    <xf numFmtId="167" fontId="17" fillId="8" borderId="0" xfId="0" applyNumberFormat="1" applyFont="1" applyFill="1" applyAlignment="1">
      <alignment horizontal="left" vertical="center"/>
    </xf>
    <xf numFmtId="0" fontId="16" fillId="9" borderId="0" xfId="0" applyFont="1" applyFill="1" applyAlignment="1">
      <alignment horizontal="center" vertical="center"/>
    </xf>
    <xf numFmtId="167" fontId="17" fillId="9" borderId="0" xfId="0" applyNumberFormat="1" applyFont="1" applyFill="1" applyAlignment="1">
      <alignment horizontal="left" vertical="center"/>
    </xf>
    <xf numFmtId="0" fontId="16" fillId="10" borderId="0" xfId="0" applyFont="1" applyFill="1" applyAlignment="1">
      <alignment horizontal="center" vertical="center"/>
    </xf>
    <xf numFmtId="167" fontId="17" fillId="10" borderId="0" xfId="0" applyNumberFormat="1" applyFont="1" applyFill="1" applyAlignment="1">
      <alignment horizontal="left" vertical="center"/>
    </xf>
    <xf numFmtId="0" fontId="16" fillId="11" borderId="0" xfId="0" applyFont="1" applyFill="1" applyAlignment="1">
      <alignment horizontal="center" vertical="center"/>
    </xf>
    <xf numFmtId="167" fontId="17" fillId="11" borderId="0" xfId="0" applyNumberFormat="1" applyFont="1" applyFill="1" applyAlignment="1">
      <alignment horizontal="left" vertical="center"/>
    </xf>
    <xf numFmtId="0" fontId="16" fillId="12" borderId="0" xfId="0" applyFont="1" applyFill="1" applyAlignment="1">
      <alignment horizontal="center" vertical="center"/>
    </xf>
    <xf numFmtId="168" fontId="17" fillId="12" borderId="0" xfId="0" applyNumberFormat="1" applyFont="1" applyFill="1" applyAlignment="1">
      <alignment horizontal="left" vertical="center"/>
    </xf>
    <xf numFmtId="0" fontId="15" fillId="13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left" vertical="center"/>
    </xf>
    <xf numFmtId="0" fontId="18" fillId="9" borderId="0" xfId="0" applyFont="1" applyFill="1" applyAlignment="1">
      <alignment horizontal="left" vertical="center"/>
    </xf>
    <xf numFmtId="0" fontId="18" fillId="10" borderId="0" xfId="0" applyFont="1" applyFill="1" applyAlignment="1">
      <alignment horizontal="left" vertical="center"/>
    </xf>
    <xf numFmtId="0" fontId="18" fillId="11" borderId="0" xfId="0" applyFont="1" applyFill="1" applyAlignment="1">
      <alignment horizontal="left" vertical="center"/>
    </xf>
    <xf numFmtId="0" fontId="18" fillId="12" borderId="0" xfId="0" applyFont="1" applyFill="1" applyAlignment="1">
      <alignment horizontal="left" vertical="center"/>
    </xf>
    <xf numFmtId="0" fontId="19" fillId="13" borderId="0" xfId="0" applyFont="1" applyFill="1" applyAlignment="1">
      <alignment horizontal="center" vertical="center"/>
    </xf>
    <xf numFmtId="165" fontId="20" fillId="13" borderId="0" xfId="0" applyNumberFormat="1" applyFont="1" applyFill="1" applyAlignment="1">
      <alignment horizontal="center" vertical="center"/>
    </xf>
    <xf numFmtId="0" fontId="0" fillId="15" borderId="0" xfId="0" applyFill="1"/>
    <xf numFmtId="0" fontId="21" fillId="15" borderId="0" xfId="0" applyFont="1" applyFill="1" applyAlignment="1">
      <alignment horizontal="left" vertical="center"/>
    </xf>
    <xf numFmtId="0" fontId="22" fillId="13" borderId="0" xfId="0" applyFont="1" applyFill="1" applyAlignment="1">
      <alignment horizontal="center" vertical="center"/>
    </xf>
    <xf numFmtId="0" fontId="0" fillId="15" borderId="2" xfId="0" applyFill="1" applyBorder="1"/>
    <xf numFmtId="169" fontId="23" fillId="15" borderId="0" xfId="0" applyNumberFormat="1" applyFont="1" applyFill="1" applyAlignment="1">
      <alignment horizontal="left" vertical="center"/>
    </xf>
    <xf numFmtId="165" fontId="23" fillId="15" borderId="0" xfId="0" applyNumberFormat="1" applyFont="1" applyFill="1" applyAlignment="1">
      <alignment horizontal="left" vertical="center"/>
    </xf>
    <xf numFmtId="166" fontId="23" fillId="15" borderId="0" xfId="0" applyNumberFormat="1" applyFont="1" applyFill="1" applyAlignment="1">
      <alignment horizontal="left" vertical="center"/>
    </xf>
    <xf numFmtId="0" fontId="0" fillId="16" borderId="0" xfId="0" applyFill="1"/>
    <xf numFmtId="0" fontId="24" fillId="16" borderId="0" xfId="0" applyFont="1" applyFill="1" applyAlignment="1">
      <alignment horizontal="left" vertical="center"/>
    </xf>
    <xf numFmtId="0" fontId="0" fillId="17" borderId="0" xfId="0" applyFill="1"/>
    <xf numFmtId="0" fontId="25" fillId="17" borderId="0" xfId="0" applyFont="1" applyFill="1" applyAlignment="1">
      <alignment horizontal="left" vertical="center"/>
    </xf>
    <xf numFmtId="0" fontId="26" fillId="4" borderId="0" xfId="0" applyFont="1" applyFill="1" applyAlignment="1" applyProtection="1">
      <alignment horizontal="left" vertical="center" indent="1"/>
      <protection locked="0"/>
    </xf>
    <xf numFmtId="0" fontId="27" fillId="4" borderId="0" xfId="0" applyFont="1" applyFill="1" applyAlignment="1">
      <alignment horizontal="center" vertical="center"/>
    </xf>
    <xf numFmtId="0" fontId="28" fillId="4" borderId="0" xfId="0" applyFont="1" applyFill="1" applyAlignment="1" applyProtection="1">
      <alignment horizontal="left" vertical="center" indent="1"/>
      <protection locked="0"/>
    </xf>
    <xf numFmtId="0" fontId="29" fillId="18" borderId="0" xfId="0" applyFont="1" applyFill="1" applyAlignment="1">
      <alignment horizontal="center" vertical="center"/>
    </xf>
    <xf numFmtId="0" fontId="30" fillId="19" borderId="0" xfId="0" applyFont="1" applyFill="1" applyAlignment="1">
      <alignment horizontal="center" vertical="center"/>
    </xf>
    <xf numFmtId="0" fontId="0" fillId="18" borderId="0" xfId="0" applyFill="1"/>
    <xf numFmtId="0" fontId="29" fillId="18" borderId="0" xfId="0" applyFont="1" applyFill="1" applyAlignment="1">
      <alignment horizontal="left" vertical="center"/>
    </xf>
    <xf numFmtId="0" fontId="31" fillId="18" borderId="0" xfId="0" applyFont="1" applyFill="1" applyAlignment="1">
      <alignment horizontal="center" vertical="center"/>
    </xf>
    <xf numFmtId="0" fontId="32" fillId="18" borderId="0" xfId="0" applyFont="1" applyFill="1" applyAlignment="1">
      <alignment horizontal="left" vertical="center"/>
    </xf>
    <xf numFmtId="165" fontId="33" fillId="4" borderId="3" xfId="0" applyNumberFormat="1" applyFont="1" applyFill="1" applyBorder="1" applyAlignment="1" applyProtection="1">
      <alignment horizontal="center" vertical="center"/>
      <protection locked="0"/>
    </xf>
    <xf numFmtId="170" fontId="33" fillId="4" borderId="3" xfId="0" applyNumberFormat="1" applyFont="1" applyFill="1" applyBorder="1" applyAlignment="1" applyProtection="1">
      <alignment horizontal="center" vertical="center"/>
      <protection locked="0"/>
    </xf>
    <xf numFmtId="0" fontId="34" fillId="18" borderId="0" xfId="0" applyFont="1" applyFill="1" applyAlignment="1">
      <alignment horizontal="left" vertical="center"/>
    </xf>
    <xf numFmtId="0" fontId="35" fillId="17" borderId="0" xfId="0" applyFont="1" applyFill="1" applyAlignment="1">
      <alignment horizontal="left" vertical="center" wrapText="1"/>
    </xf>
    <xf numFmtId="0" fontId="36" fillId="13" borderId="0" xfId="0" applyFont="1" applyFill="1" applyAlignment="1">
      <alignment horizontal="left" vertical="center"/>
    </xf>
    <xf numFmtId="0" fontId="37" fillId="20" borderId="0" xfId="0" applyFont="1" applyFill="1" applyAlignment="1">
      <alignment horizontal="center" vertical="center"/>
    </xf>
    <xf numFmtId="0" fontId="0" fillId="21" borderId="0" xfId="0" applyFill="1"/>
    <xf numFmtId="0" fontId="38" fillId="21" borderId="0" xfId="0" applyFont="1" applyFill="1" applyAlignment="1">
      <alignment horizontal="left" vertical="center"/>
    </xf>
    <xf numFmtId="0" fontId="26" fillId="13" borderId="0" xfId="0" applyFont="1" applyFill="1" applyAlignment="1">
      <alignment horizontal="center" vertical="center"/>
    </xf>
    <xf numFmtId="171" fontId="26" fillId="13" borderId="0" xfId="0" applyNumberFormat="1" applyFont="1" applyFill="1" applyAlignment="1">
      <alignment horizontal="center" vertical="center"/>
    </xf>
    <xf numFmtId="172" fontId="26" fillId="13" borderId="0" xfId="0" applyNumberFormat="1" applyFont="1" applyFill="1" applyAlignment="1">
      <alignment horizontal="center" vertical="center"/>
    </xf>
    <xf numFmtId="0" fontId="39" fillId="21" borderId="0" xfId="0" applyFont="1" applyFill="1" applyAlignment="1">
      <alignment horizontal="left" vertical="top" wrapText="1"/>
    </xf>
    <xf numFmtId="0" fontId="26" fillId="22" borderId="0" xfId="0" applyFont="1" applyFill="1" applyAlignment="1">
      <alignment horizontal="center" vertical="center"/>
    </xf>
    <xf numFmtId="171" fontId="26" fillId="22" borderId="0" xfId="0" applyNumberFormat="1" applyFont="1" applyFill="1" applyAlignment="1">
      <alignment horizontal="center" vertical="center"/>
    </xf>
    <xf numFmtId="172" fontId="26" fillId="22" borderId="0" xfId="0" applyNumberFormat="1" applyFont="1" applyFill="1" applyAlignment="1">
      <alignment horizontal="center" vertical="center"/>
    </xf>
    <xf numFmtId="0" fontId="33" fillId="23" borderId="0" xfId="0" applyFont="1" applyFill="1" applyAlignment="1">
      <alignment horizontal="center" vertical="center"/>
    </xf>
    <xf numFmtId="171" fontId="33" fillId="23" borderId="0" xfId="0" applyNumberFormat="1" applyFont="1" applyFill="1" applyAlignment="1">
      <alignment horizontal="center" vertical="center"/>
    </xf>
    <xf numFmtId="172" fontId="33" fillId="23" borderId="0" xfId="0" applyNumberFormat="1" applyFont="1" applyFill="1" applyAlignment="1">
      <alignment horizontal="center" vertical="center"/>
    </xf>
    <xf numFmtId="0" fontId="0" fillId="24" borderId="0" xfId="0" applyFill="1"/>
    <xf numFmtId="0" fontId="12" fillId="25" borderId="0" xfId="0" applyFont="1" applyFill="1" applyAlignment="1">
      <alignment horizontal="center" vertical="center"/>
    </xf>
    <xf numFmtId="0" fontId="12" fillId="26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left" vertical="center" indent="1"/>
    </xf>
    <xf numFmtId="0" fontId="12" fillId="25" borderId="4" xfId="0" applyFont="1" applyFill="1" applyBorder="1" applyAlignment="1">
      <alignment horizontal="center" vertical="center"/>
    </xf>
    <xf numFmtId="0" fontId="41" fillId="7" borderId="4" xfId="0" applyFont="1" applyFill="1" applyBorder="1" applyAlignment="1">
      <alignment horizontal="center" vertical="center"/>
    </xf>
    <xf numFmtId="0" fontId="42" fillId="5" borderId="0" xfId="0" applyFont="1" applyFill="1" applyAlignment="1">
      <alignment horizontal="left" vertical="center" indent="1"/>
    </xf>
    <xf numFmtId="0" fontId="43" fillId="27" borderId="0" xfId="0" applyFont="1" applyFill="1" applyAlignment="1">
      <alignment horizontal="left" vertical="center" indent="1"/>
    </xf>
    <xf numFmtId="0" fontId="43" fillId="27" borderId="0" xfId="0" applyFont="1" applyFill="1" applyAlignment="1">
      <alignment horizontal="left" vertical="center"/>
    </xf>
    <xf numFmtId="0" fontId="10" fillId="20" borderId="0" xfId="0" applyFont="1" applyFill="1" applyAlignment="1">
      <alignment horizontal="center" vertical="center" wrapText="1"/>
    </xf>
    <xf numFmtId="0" fontId="10" fillId="28" borderId="0" xfId="0" applyFont="1" applyFill="1" applyAlignment="1">
      <alignment horizontal="center" vertical="center" wrapText="1"/>
    </xf>
    <xf numFmtId="0" fontId="44" fillId="29" borderId="0" xfId="0" applyFont="1" applyFill="1" applyAlignment="1">
      <alignment horizontal="center" vertical="center" wrapText="1"/>
    </xf>
    <xf numFmtId="0" fontId="45" fillId="0" borderId="5" xfId="0" applyFont="1" applyBorder="1" applyAlignment="1" applyProtection="1">
      <alignment horizontal="center" vertical="center"/>
      <protection locked="0"/>
    </xf>
    <xf numFmtId="173" fontId="45" fillId="0" borderId="5" xfId="0" applyNumberFormat="1" applyFont="1" applyBorder="1" applyAlignment="1" applyProtection="1">
      <alignment horizontal="center" vertical="center"/>
      <protection locked="0"/>
    </xf>
    <xf numFmtId="0" fontId="46" fillId="30" borderId="5" xfId="0" applyFont="1" applyFill="1" applyBorder="1" applyAlignment="1">
      <alignment horizontal="center" vertical="center"/>
    </xf>
    <xf numFmtId="0" fontId="46" fillId="30" borderId="5" xfId="0" applyFont="1" applyFill="1" applyBorder="1" applyAlignment="1">
      <alignment horizontal="left" vertical="center" indent="1"/>
    </xf>
    <xf numFmtId="165" fontId="45" fillId="0" borderId="5" xfId="0" applyNumberFormat="1" applyFont="1" applyBorder="1" applyAlignment="1" applyProtection="1">
      <alignment horizontal="center" vertical="center"/>
      <protection locked="0"/>
    </xf>
    <xf numFmtId="169" fontId="45" fillId="0" borderId="5" xfId="0" applyNumberFormat="1" applyFont="1" applyBorder="1" applyAlignment="1" applyProtection="1">
      <alignment horizontal="center" vertical="center"/>
      <protection locked="0"/>
    </xf>
    <xf numFmtId="165" fontId="46" fillId="30" borderId="5" xfId="0" applyNumberFormat="1" applyFont="1" applyFill="1" applyBorder="1" applyAlignment="1">
      <alignment horizontal="center" vertical="center"/>
    </xf>
    <xf numFmtId="166" fontId="46" fillId="30" borderId="5" xfId="0" applyNumberFormat="1" applyFont="1" applyFill="1" applyBorder="1" applyAlignment="1">
      <alignment horizontal="center" vertical="center"/>
    </xf>
    <xf numFmtId="174" fontId="46" fillId="30" borderId="5" xfId="0" applyNumberFormat="1" applyFont="1" applyFill="1" applyBorder="1" applyAlignment="1">
      <alignment horizontal="center" vertical="center"/>
    </xf>
    <xf numFmtId="175" fontId="47" fillId="31" borderId="5" xfId="0" applyNumberFormat="1" applyFont="1" applyFill="1" applyBorder="1" applyAlignment="1">
      <alignment horizontal="center" vertical="center"/>
    </xf>
    <xf numFmtId="0" fontId="47" fillId="31" borderId="5" xfId="0" applyFont="1" applyFill="1" applyBorder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49" fillId="20" borderId="0" xfId="0" applyFont="1" applyFill="1" applyAlignment="1">
      <alignment horizontal="center" vertical="center" wrapText="1"/>
    </xf>
    <xf numFmtId="0" fontId="49" fillId="28" borderId="0" xfId="0" applyFont="1" applyFill="1" applyAlignment="1">
      <alignment horizontal="center" vertical="center" wrapText="1"/>
    </xf>
    <xf numFmtId="0" fontId="50" fillId="0" borderId="5" xfId="0" applyFont="1" applyBorder="1" applyAlignment="1" applyProtection="1">
      <alignment horizontal="center" vertical="center"/>
      <protection locked="0"/>
    </xf>
    <xf numFmtId="0" fontId="50" fillId="0" borderId="5" xfId="0" applyFont="1" applyBorder="1" applyAlignment="1" applyProtection="1">
      <alignment horizontal="left" vertical="center" indent="1"/>
      <protection locked="0"/>
    </xf>
    <xf numFmtId="165" fontId="51" fillId="30" borderId="5" xfId="0" applyNumberFormat="1" applyFont="1" applyFill="1" applyBorder="1" applyAlignment="1">
      <alignment horizontal="center" vertical="center"/>
    </xf>
    <xf numFmtId="166" fontId="51" fillId="30" borderId="5" xfId="0" applyNumberFormat="1" applyFont="1" applyFill="1" applyBorder="1" applyAlignment="1">
      <alignment horizontal="center" vertical="center"/>
    </xf>
    <xf numFmtId="0" fontId="52" fillId="0" borderId="0" xfId="0" applyFont="1" applyAlignment="1">
      <alignment horizontal="left" vertical="center"/>
    </xf>
    <xf numFmtId="0" fontId="10" fillId="20" borderId="6" xfId="0" applyFont="1" applyFill="1" applyBorder="1" applyAlignment="1">
      <alignment horizontal="center" vertical="center" wrapText="1"/>
    </xf>
    <xf numFmtId="0" fontId="10" fillId="28" borderId="6" xfId="0" applyFont="1" applyFill="1" applyBorder="1" applyAlignment="1">
      <alignment horizontal="center" vertical="center" wrapText="1"/>
    </xf>
    <xf numFmtId="165" fontId="50" fillId="0" borderId="5" xfId="0" applyNumberFormat="1" applyFont="1" applyBorder="1" applyAlignment="1" applyProtection="1">
      <alignment horizontal="center" vertical="center"/>
      <protection locked="0"/>
    </xf>
    <xf numFmtId="0" fontId="10" fillId="20" borderId="6" xfId="0" applyFont="1" applyFill="1" applyBorder="1" applyAlignment="1" applyProtection="1">
      <alignment horizontal="center" vertical="center" wrapText="1"/>
      <protection locked="0"/>
    </xf>
    <xf numFmtId="0" fontId="51" fillId="30" borderId="5" xfId="0" applyFont="1" applyFill="1" applyBorder="1" applyAlignment="1">
      <alignment horizontal="center" vertical="center"/>
    </xf>
    <xf numFmtId="0" fontId="53" fillId="30" borderId="5" xfId="0" applyFont="1" applyFill="1" applyBorder="1" applyAlignment="1">
      <alignment horizontal="left" vertical="center" indent="1"/>
    </xf>
    <xf numFmtId="176" fontId="50" fillId="0" borderId="5" xfId="0" applyNumberFormat="1" applyFont="1" applyBorder="1" applyAlignment="1" applyProtection="1">
      <alignment horizontal="center" vertical="center"/>
      <protection locked="0"/>
    </xf>
    <xf numFmtId="169" fontId="51" fillId="30" borderId="5" xfId="0" applyNumberFormat="1" applyFont="1" applyFill="1" applyBorder="1" applyAlignment="1">
      <alignment horizontal="center" vertical="center"/>
    </xf>
    <xf numFmtId="0" fontId="8" fillId="23" borderId="5" xfId="0" applyFont="1" applyFill="1" applyBorder="1" applyAlignment="1">
      <alignment horizontal="center" vertical="center"/>
    </xf>
    <xf numFmtId="0" fontId="8" fillId="23" borderId="5" xfId="0" applyFont="1" applyFill="1" applyBorder="1" applyAlignment="1">
      <alignment horizontal="left" vertical="center"/>
    </xf>
    <xf numFmtId="165" fontId="8" fillId="23" borderId="5" xfId="0" applyNumberFormat="1" applyFont="1" applyFill="1" applyBorder="1" applyAlignment="1">
      <alignment horizontal="center" vertical="center"/>
    </xf>
    <xf numFmtId="166" fontId="8" fillId="23" borderId="5" xfId="0" applyNumberFormat="1" applyFont="1" applyFill="1" applyBorder="1" applyAlignment="1">
      <alignment horizontal="center" vertical="center"/>
    </xf>
    <xf numFmtId="169" fontId="8" fillId="23" borderId="5" xfId="0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left" vertical="top" wrapText="1"/>
    </xf>
    <xf numFmtId="0" fontId="5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/>
    </xf>
    <xf numFmtId="165" fontId="28" fillId="0" borderId="0" xfId="0" applyNumberFormat="1" applyFont="1" applyAlignment="1">
      <alignment horizontal="right" vertical="center"/>
    </xf>
    <xf numFmtId="166" fontId="28" fillId="0" borderId="0" xfId="0" applyNumberFormat="1" applyFont="1" applyAlignment="1">
      <alignment horizontal="right" vertical="center"/>
    </xf>
    <xf numFmtId="173" fontId="28" fillId="0" borderId="0" xfId="0" applyNumberFormat="1" applyFont="1" applyAlignment="1">
      <alignment horizontal="right" vertical="center"/>
    </xf>
    <xf numFmtId="0" fontId="56" fillId="0" borderId="0" xfId="0" applyFont="1" applyAlignment="1">
      <alignment horizontal="left" vertical="center"/>
    </xf>
    <xf numFmtId="177" fontId="28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32">
    <dxf>
      <font>
        <color rgb="FF1F4E9A"/>
      </font>
      <border>
        <left style="thin">
          <color rgb="FFD5DEE8"/>
        </left>
        <right style="thin">
          <color rgb="FFD5DEE8"/>
        </right>
        <top style="thin">
          <color rgb="FFD5DEE8"/>
        </top>
        <bottom style="thin">
          <color rgb="FFD5DEE8"/>
        </bottom>
        <vertical/>
        <horizontal/>
      </border>
    </dxf>
    <dxf>
      <font>
        <color rgb="FF1F4E9A"/>
      </font>
      <border>
        <left style="thin">
          <color rgb="FFD5DEE8"/>
        </left>
        <right style="thin">
          <color rgb="FFD5DEE8"/>
        </right>
        <top style="thin">
          <color rgb="FFD5DEE8"/>
        </top>
        <bottom style="thin">
          <color rgb="FFD5DEE8"/>
        </bottom>
        <vertical/>
        <horizontal/>
      </border>
    </dxf>
    <dxf>
      <font>
        <color rgb="FF44546A"/>
      </font>
      <numFmt numFmtId="165" formatCode="#,##0"/>
      <fill>
        <patternFill>
          <bgColor rgb="FFF1F4F8"/>
        </patternFill>
      </fill>
      <border>
        <left style="thin">
          <color rgb="FFD5DEE8"/>
        </left>
        <right style="thin">
          <color rgb="FFD5DEE8"/>
        </right>
        <top style="thin">
          <color rgb="FFD5DEE8"/>
        </top>
        <bottom style="thin">
          <color rgb="FFD5DEE8"/>
        </bottom>
        <vertical/>
        <horizontal/>
      </border>
    </dxf>
    <dxf>
      <font>
        <color rgb="FF44546A"/>
      </font>
      <numFmt numFmtId="166" formatCode="0.0%"/>
      <fill>
        <patternFill>
          <bgColor rgb="FFF1F4F8"/>
        </patternFill>
      </fill>
      <border>
        <left style="thin">
          <color rgb="FFD5DEE8"/>
        </left>
        <right style="thin">
          <color rgb="FFD5DEE8"/>
        </right>
        <top style="thin">
          <color rgb="FFD5DEE8"/>
        </top>
        <bottom style="thin">
          <color rgb="FFD5DEE8"/>
        </bottom>
        <vertical/>
        <horizontal/>
      </border>
    </dxf>
    <dxf>
      <font>
        <color rgb="FF1F4E9A"/>
      </font>
      <border>
        <left style="thin">
          <color rgb="FFD5DEE8"/>
        </left>
        <right style="thin">
          <color rgb="FFD5DEE8"/>
        </right>
        <top style="thin">
          <color rgb="FFD5DEE8"/>
        </top>
        <bottom style="thin">
          <color rgb="FFD5DEE8"/>
        </bottom>
        <vertical/>
        <horizontal/>
      </border>
    </dxf>
    <dxf>
      <font>
        <color rgb="FF1F4E9A"/>
      </font>
      <numFmt numFmtId="173" formatCode="dd/mm/yyyy"/>
      <border>
        <left style="thin">
          <color rgb="FFD5DEE8"/>
        </left>
        <right style="thin">
          <color rgb="FFD5DEE8"/>
        </right>
        <top style="thin">
          <color rgb="FFD5DEE8"/>
        </top>
        <bottom style="thin">
          <color rgb="FFD5DEE8"/>
        </bottom>
        <vertical/>
        <horizontal/>
      </border>
    </dxf>
    <dxf>
      <font>
        <color rgb="FF44546A"/>
      </font>
      <fill>
        <patternFill>
          <bgColor rgb="FFF1F4F8"/>
        </patternFill>
      </fill>
      <border>
        <left style="thin">
          <color rgb="FFD5DEE8"/>
        </left>
        <right style="thin">
          <color rgb="FFD5DEE8"/>
        </right>
        <top style="thin">
          <color rgb="FFD5DEE8"/>
        </top>
        <bottom style="thin">
          <color rgb="FFD5DEE8"/>
        </bottom>
        <vertical/>
        <horizontal/>
      </border>
    </dxf>
    <dxf>
      <font>
        <color rgb="FF44546A"/>
      </font>
      <fill>
        <patternFill>
          <bgColor rgb="FFF1F4F8"/>
        </patternFill>
      </fill>
      <border>
        <left style="thin">
          <color rgb="FFD5DEE8"/>
        </left>
        <right style="thin">
          <color rgb="FFD5DEE8"/>
        </right>
        <top style="thin">
          <color rgb="FFD5DEE8"/>
        </top>
        <bottom style="thin">
          <color rgb="FFD5DEE8"/>
        </bottom>
        <vertical/>
        <horizontal/>
      </border>
    </dxf>
    <dxf>
      <font>
        <color rgb="FF1F4E9A"/>
      </font>
      <numFmt numFmtId="165" formatCode="#,##0"/>
      <border>
        <left style="thin">
          <color rgb="FFD5DEE8"/>
        </left>
        <right style="thin">
          <color rgb="FFD5DEE8"/>
        </right>
        <top style="thin">
          <color rgb="FFD5DEE8"/>
        </top>
        <bottom style="thin">
          <color rgb="FFD5DEE8"/>
        </bottom>
        <vertical/>
        <horizontal/>
      </border>
    </dxf>
    <dxf>
      <font>
        <color rgb="FF1F4E9A"/>
      </font>
      <numFmt numFmtId="169" formatCode="&quot;€ &quot;#,##0"/>
      <border>
        <left style="thin">
          <color rgb="FFD5DEE8"/>
        </left>
        <right style="thin">
          <color rgb="FFD5DEE8"/>
        </right>
        <top style="thin">
          <color rgb="FFD5DEE8"/>
        </top>
        <bottom style="thin">
          <color rgb="FFD5DEE8"/>
        </bottom>
        <vertical/>
        <horizontal/>
      </border>
    </dxf>
    <dxf>
      <font>
        <color rgb="FF44546A"/>
      </font>
      <numFmt numFmtId="165" formatCode="#,##0"/>
      <fill>
        <patternFill>
          <bgColor rgb="FFF1F4F8"/>
        </patternFill>
      </fill>
      <border>
        <left style="thin">
          <color rgb="FFD5DEE8"/>
        </left>
        <right style="thin">
          <color rgb="FFD5DEE8"/>
        </right>
        <top style="thin">
          <color rgb="FFD5DEE8"/>
        </top>
        <bottom style="thin">
          <color rgb="FFD5DEE8"/>
        </bottom>
        <vertical/>
        <horizontal/>
      </border>
    </dxf>
    <dxf>
      <font>
        <color rgb="FF44546A"/>
      </font>
      <numFmt numFmtId="166" formatCode="0.0%"/>
      <fill>
        <patternFill>
          <bgColor rgb="FFF1F4F8"/>
        </patternFill>
      </fill>
      <border>
        <left style="thin">
          <color rgb="FFD5DEE8"/>
        </left>
        <right style="thin">
          <color rgb="FFD5DEE8"/>
        </right>
        <top style="thin">
          <color rgb="FFD5DEE8"/>
        </top>
        <bottom style="thin">
          <color rgb="FFD5DEE8"/>
        </bottom>
        <vertical/>
        <horizontal/>
      </border>
    </dxf>
    <dxf>
      <font>
        <color rgb="FF44546A"/>
      </font>
      <numFmt numFmtId="174" formatCode="&quot;●&quot;;;&quot;&quot;"/>
      <fill>
        <patternFill>
          <bgColor rgb="FFF1F4F8"/>
        </patternFill>
      </fill>
      <border>
        <left style="thin">
          <color rgb="FFD5DEE8"/>
        </left>
        <right style="thin">
          <color rgb="FFD5DEE8"/>
        </right>
        <top style="thin">
          <color rgb="FFD5DEE8"/>
        </top>
        <bottom style="thin">
          <color rgb="FFD5DEE8"/>
        </bottom>
        <vertical/>
        <horizontal/>
      </border>
    </dxf>
    <dxf>
      <font>
        <color rgb="FF8795A8"/>
      </font>
      <numFmt numFmtId="175" formatCode="mmm-yy"/>
      <fill>
        <patternFill>
          <bgColor rgb="FFE9EDF2"/>
        </patternFill>
      </fill>
      <border>
        <left style="thin">
          <color rgb="FFD5DEE8"/>
        </left>
        <right style="thin">
          <color rgb="FFD5DEE8"/>
        </right>
        <top style="thin">
          <color rgb="FFD5DEE8"/>
        </top>
        <bottom style="thin">
          <color rgb="FFD5DEE8"/>
        </bottom>
        <vertical/>
        <horizontal/>
      </border>
    </dxf>
    <dxf>
      <font>
        <color rgb="FF8795A8"/>
      </font>
      <fill>
        <patternFill>
          <bgColor rgb="FFE9EDF2"/>
        </patternFill>
      </fill>
      <border>
        <left style="thin">
          <color rgb="FFD5DEE8"/>
        </left>
        <right style="thin">
          <color rgb="FFD5DEE8"/>
        </right>
        <top style="thin">
          <color rgb="FFD5DEE8"/>
        </top>
        <bottom style="thin">
          <color rgb="FFD5DEE8"/>
        </bottom>
        <vertical/>
        <horizontal/>
      </border>
    </dxf>
    <dxf>
      <font>
        <b/>
        <color rgb="FFB42318"/>
      </font>
      <fill>
        <patternFill>
          <bgColor rgb="FFFDE4E1"/>
        </patternFill>
      </fill>
    </dxf>
    <dxf>
      <font>
        <b/>
        <color rgb="FF9A6700"/>
      </font>
      <fill>
        <patternFill>
          <bgColor rgb="FFFFF3CD"/>
        </patternFill>
      </fill>
    </dxf>
    <dxf>
      <font>
        <color rgb="FF2F7D32"/>
      </font>
      <fill>
        <patternFill>
          <bgColor rgb="FFE7F4E4"/>
        </patternFill>
      </fill>
    </dxf>
    <dxf>
      <font>
        <b/>
        <color rgb="FFD2502A"/>
      </font>
    </dxf>
    <dxf>
      <font>
        <b/>
        <color rgb="FF163F7A"/>
      </font>
    </dxf>
    <dxf>
      <font>
        <b/>
        <color rgb="FFE28A00"/>
      </font>
    </dxf>
    <dxf>
      <font>
        <color rgb="FFCDDDF0"/>
      </font>
      <fill>
        <patternFill>
          <bgColor rgb="FFCDDDF0"/>
        </patternFill>
      </fill>
    </dxf>
    <dxf>
      <font>
        <b/>
        <color rgb="FF1B2A41"/>
      </font>
      <fill>
        <patternFill>
          <bgColor rgb="FFF2B632"/>
        </patternFill>
      </fill>
    </dxf>
    <dxf>
      <font>
        <color rgb="FFEEF3F9"/>
      </font>
      <fill>
        <patternFill>
          <bgColor rgb="FF9DB2CC"/>
        </patternFill>
      </fill>
    </dxf>
    <dxf>
      <font>
        <color rgb="FF7CF0A6"/>
      </font>
    </dxf>
    <dxf>
      <font>
        <color rgb="FFFFB4A6"/>
      </font>
    </dxf>
    <dxf>
      <font>
        <color rgb="FFDDEBD4"/>
      </font>
      <fill>
        <patternFill>
          <bgColor rgb="FFDDEBD4"/>
        </patternFill>
      </fill>
    </dxf>
    <dxf>
      <font>
        <b/>
        <color rgb="FFFFFFFF"/>
      </font>
      <fill>
        <patternFill>
          <bgColor rgb="FF5B9A3B"/>
        </patternFill>
      </fill>
    </dxf>
    <dxf>
      <font>
        <color rgb="FF9AAE92"/>
      </font>
      <fill>
        <patternFill>
          <bgColor rgb="FFEDF3E9"/>
        </patternFill>
      </fill>
    </dxf>
    <dxf>
      <font>
        <color rgb="FFA9B4C4"/>
      </font>
    </dxf>
    <dxf>
      <font>
        <b/>
        <color rgb="FFA61B1B"/>
      </font>
    </dxf>
    <dxf>
      <font>
        <b/>
      </font>
      <fill>
        <patternFill>
          <bgColor rgb="FFFCE9B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D2502A"/>
              </a:solidFill>
              <a:ln w="15875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163F7A"/>
              </a:solidFill>
              <a:ln w="15875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EDA43A"/>
              </a:solidFill>
              <a:ln w="15875"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D5DDE7"/>
              </a:solidFill>
              <a:ln w="15875">
                <a:solidFill>
                  <a:srgbClr val="FFFFFF"/>
                </a:solidFill>
              </a:ln>
            </c:spPr>
          </c:dPt>
          <c:dLbls>
            <c:dLbl>
              <c:idx val="3"/>
              <c:delete val="1"/>
            </c:dLbl>
            <c:numFmt formatCode="0%;;;" sourceLinked="0"/>
            <c:txPr>
              <a:bodyPr/>
              <a:lstStyle/>
              <a:p>
                <a:pPr>
                  <a:defRPr sz="800" b="1" baseline="0">
                    <a:solidFill>
                      <a:srgbClr val="FFFFFF"/>
                    </a:solidFill>
                    <a:latin typeface="Segoe UI"/>
                  </a:defRPr>
                </a:pPr>
                <a:endParaRPr lang="en-US"/>
              </a:p>
            </c:txPr>
            <c:showPercent val="1"/>
          </c:dLbls>
          <c:cat>
            <c:strRef>
              <c:f>Calcoli!$A$94:$A$97</c:f>
              <c:strCache>
                <c:ptCount val="4"/>
                <c:pt idx="0">
                  <c:v>Utilizzo alto</c:v>
                </c:pt>
                <c:pt idx="1">
                  <c:v>Danni elevati</c:v>
                </c:pt>
                <c:pt idx="2">
                  <c:v>Scorta bassa</c:v>
                </c:pt>
                <c:pt idx="3">
                  <c:v>Nessun alert</c:v>
                </c:pt>
              </c:strCache>
            </c:strRef>
          </c:cat>
          <c:val>
            <c:numRef>
              <c:f>Calcoli!$B$94:$B$97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firstSliceAng val="0"/>
        <c:holeSize val="56"/>
      </c:doughnutChart>
      <c:spPr>
        <a:noFill/>
        <a:ln>
          <a:noFill/>
        </a:ln>
      </c:spPr>
    </c:plotArea>
    <c:plotVisOnly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Calcoli!$E$35</c:f>
              <c:strCache>
                <c:ptCount val="1"/>
                <c:pt idx="0">
                  <c:v>Ricevuti</c:v>
                </c:pt>
              </c:strCache>
            </c:strRef>
          </c:tx>
          <c:spPr>
            <a:solidFill>
              <a:srgbClr val="E27A2F"/>
            </a:solidFill>
            <a:ln>
              <a:noFill/>
            </a:ln>
          </c:spPr>
          <c:dLbls>
            <c:numFmt formatCode="#,##0;;;" sourceLinked="0"/>
            <c:txPr>
              <a:bodyPr/>
              <a:lstStyle/>
              <a:p>
                <a:pPr>
                  <a:defRPr sz="750" b="1" baseline="0">
                    <a:solidFill>
                      <a:srgbClr val="1B2A41"/>
                    </a:solidFill>
                    <a:latin typeface="Segoe UI"/>
                  </a:defRPr>
                </a:pPr>
                <a:endParaRPr lang="en-US"/>
              </a:p>
            </c:txPr>
            <c:showVal val="1"/>
          </c:dLbls>
          <c:cat>
            <c:strRef>
              <c:f>Calcoli!$A$36:$A$40</c:f>
              <c:str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strCache>
            </c:strRef>
          </c:cat>
          <c:val>
            <c:numRef>
              <c:f>Calcoli!$E$36:$E$40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Calcoli!$F$35</c:f>
              <c:strCache>
                <c:ptCount val="1"/>
                <c:pt idx="0">
                  <c:v>Spediti</c:v>
                </c:pt>
              </c:strCache>
            </c:strRef>
          </c:tx>
          <c:spPr>
            <a:solidFill>
              <a:srgbClr val="2C5F93"/>
            </a:solidFill>
            <a:ln>
              <a:noFill/>
            </a:ln>
          </c:spPr>
          <c:dLbls>
            <c:numFmt formatCode="#,##0;;;" sourceLinked="0"/>
            <c:txPr>
              <a:bodyPr/>
              <a:lstStyle/>
              <a:p>
                <a:pPr>
                  <a:defRPr sz="750" b="1" baseline="0">
                    <a:solidFill>
                      <a:srgbClr val="1B2A41"/>
                    </a:solidFill>
                    <a:latin typeface="Segoe UI"/>
                  </a:defRPr>
                </a:pPr>
                <a:endParaRPr lang="en-US"/>
              </a:p>
            </c:txPr>
            <c:showVal val="1"/>
          </c:dLbls>
          <c:cat>
            <c:strRef>
              <c:f>Calcoli!$A$36:$A$40</c:f>
              <c:str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strCache>
            </c:strRef>
          </c:cat>
          <c:val>
            <c:numRef>
              <c:f>Calcoli!$F$36:$F$40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gapWidth val="70"/>
        <c:overlap val="-8"/>
        <c:axId val="50020001"/>
        <c:axId val="50020002"/>
      </c:barChart>
      <c:catAx>
        <c:axId val="5002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C9D3DF"/>
            </a:solidFill>
          </a:ln>
        </c:spPr>
        <c:txPr>
          <a:bodyPr/>
          <a:lstStyle/>
          <a:p>
            <a:pPr>
              <a:defRPr sz="800" baseline="0">
                <a:solidFill>
                  <a:srgbClr val="44546A"/>
                </a:solidFill>
                <a:latin typeface="Segoe UI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  <c:min val="0"/>
        </c:scaling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44546A"/>
                </a:solidFill>
                <a:latin typeface="Segoe UI"/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noFill/>
        <a:ln>
          <a:noFill/>
        </a:ln>
      </c:spPr>
    </c:plotArea>
    <c:legend>
      <c:legendPos val="t"/>
      <c:layout/>
      <c:txPr>
        <a:bodyPr/>
        <a:lstStyle/>
        <a:p>
          <a:pPr>
            <a:defRPr sz="800" baseline="0">
              <a:solidFill>
                <a:srgbClr val="44546A"/>
              </a:solidFill>
              <a:latin typeface="Segoe UI"/>
            </a:defRPr>
          </a:pPr>
          <a:endParaRPr lang="en-US"/>
        </a:p>
      </c:txPr>
    </c:legend>
    <c:plotVisOnly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Calcoli!$E$44</c:f>
              <c:strCache>
                <c:ptCount val="1"/>
                <c:pt idx="0">
                  <c:v>Danneggiati</c:v>
                </c:pt>
              </c:strCache>
            </c:strRef>
          </c:tx>
          <c:spPr>
            <a:solidFill>
              <a:srgbClr val="5B8C3A"/>
            </a:solidFill>
            <a:ln>
              <a:noFill/>
            </a:ln>
          </c:spPr>
          <c:dLbls>
            <c:numFmt formatCode="#,##0;;;" sourceLinked="0"/>
            <c:txPr>
              <a:bodyPr/>
              <a:lstStyle/>
              <a:p>
                <a:pPr>
                  <a:defRPr sz="750" b="1" baseline="0">
                    <a:solidFill>
                      <a:srgbClr val="1B2A41"/>
                    </a:solidFill>
                    <a:latin typeface="Segoe UI"/>
                  </a:defRPr>
                </a:pPr>
                <a:endParaRPr lang="en-US"/>
              </a:p>
            </c:txPr>
            <c:showVal val="1"/>
          </c:dLbls>
          <c:cat>
            <c:strRef>
              <c:f>Calcoli!$A$45:$A$50</c:f>
              <c:strCache>
                <c:ptCount val="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</c:strCache>
            </c:strRef>
          </c:cat>
          <c:val>
            <c:numRef>
              <c:f>Calcoli!$E$45:$E$50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55"/>
        <c:axId val="50030001"/>
        <c:axId val="50030002"/>
      </c:barChart>
      <c:catAx>
        <c:axId val="5003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C9D3DF"/>
            </a:solidFill>
          </a:ln>
        </c:spPr>
        <c:txPr>
          <a:bodyPr/>
          <a:lstStyle/>
          <a:p>
            <a:pPr>
              <a:defRPr sz="750" baseline="0">
                <a:solidFill>
                  <a:srgbClr val="44546A"/>
                </a:solidFill>
                <a:latin typeface="Segoe UI"/>
              </a:defRPr>
            </a:pPr>
            <a:endParaRPr lang="en-US"/>
          </a:p>
        </c:txPr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  <c:min val="0"/>
        </c:scaling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44546A"/>
                </a:solidFill>
                <a:latin typeface="Segoe UI"/>
              </a:defRPr>
            </a:pPr>
            <a:endParaRPr lang="en-US"/>
          </a:p>
        </c:txPr>
        <c:crossAx val="50030001"/>
        <c:crosses val="autoZero"/>
        <c:crossBetween val="between"/>
      </c:valAx>
      <c:spPr>
        <a:noFill/>
        <a:ln>
          <a:noFill/>
        </a:ln>
      </c:spPr>
    </c:plotArea>
    <c:legend>
      <c:legendPos val="t"/>
      <c:layout/>
      <c:txPr>
        <a:bodyPr/>
        <a:lstStyle/>
        <a:p>
          <a:pPr>
            <a:defRPr sz="800" baseline="0">
              <a:solidFill>
                <a:srgbClr val="44546A"/>
              </a:solidFill>
              <a:latin typeface="Segoe UI"/>
            </a:defRPr>
          </a:pPr>
          <a:endParaRPr lang="en-US"/>
        </a:p>
      </c:txPr>
    </c:legend>
    <c:plotVisOnly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bar"/>
        <c:grouping val="clustered"/>
        <c:ser>
          <c:idx val="0"/>
          <c:order val="0"/>
          <c:tx>
            <c:v>Utilizzo</c:v>
          </c:tx>
          <c:spPr>
            <a:solidFill>
              <a:srgbClr val="2E67AD"/>
            </a:solidFill>
            <a:ln>
              <a:noFill/>
            </a:ln>
          </c:spPr>
          <c:dLbls>
            <c:numFmt formatCode="0%;;;" sourceLinked="0"/>
            <c:txPr>
              <a:bodyPr/>
              <a:lstStyle/>
              <a:p>
                <a:pPr>
                  <a:defRPr sz="750" b="1" baseline="0">
                    <a:solidFill>
                      <a:srgbClr val="1B2A41"/>
                    </a:solidFill>
                    <a:latin typeface="Segoe UI"/>
                  </a:defRPr>
                </a:pPr>
                <a:endParaRPr lang="en-US"/>
              </a:p>
            </c:txPr>
            <c:showVal val="1"/>
          </c:dLbls>
          <c:cat>
            <c:strRef>
              <c:f>Calcoli!$A$36:$A$40</c:f>
              <c:str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strCache>
            </c:strRef>
          </c:cat>
          <c:val>
            <c:numRef>
              <c:f>Calcoli!$K$36:$K$40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gapWidth val="55"/>
        <c:axId val="50040001"/>
        <c:axId val="50040002"/>
      </c:barChart>
      <c:catAx>
        <c:axId val="50040001"/>
        <c:scaling>
          <c:orientation val="minMax"/>
        </c:scaling>
        <c:axPos val="l"/>
        <c:majorTickMark val="none"/>
        <c:tickLblPos val="nextTo"/>
        <c:spPr>
          <a:ln>
            <a:solidFill>
              <a:srgbClr val="C9D3DF"/>
            </a:solidFill>
          </a:ln>
        </c:spPr>
        <c:txPr>
          <a:bodyPr/>
          <a:lstStyle/>
          <a:p>
            <a:pPr>
              <a:defRPr sz="800" baseline="0">
                <a:solidFill>
                  <a:srgbClr val="44546A"/>
                </a:solidFill>
                <a:latin typeface="Segoe UI"/>
              </a:defRPr>
            </a:pPr>
            <a:endParaRPr lang="en-US"/>
          </a:p>
        </c:txPr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  <c:max val="1"/>
          <c:min val="0"/>
        </c:scaling>
        <c:axPos val="b"/>
        <c:majorGridlines>
          <c:spPr>
            <a:ln w="9525">
              <a:solidFill>
                <a:srgbClr val="E2E8F0"/>
              </a:solidFill>
            </a:ln>
          </c:spPr>
        </c:majorGridlines>
        <c:numFmt formatCode="0%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44546A"/>
                </a:solidFill>
                <a:latin typeface="Segoe UI"/>
              </a:defRPr>
            </a:pPr>
            <a:endParaRPr lang="en-US"/>
          </a:p>
        </c:txPr>
        <c:crossAx val="50040001"/>
        <c:crosses val="autoZero"/>
        <c:crossBetween val="between"/>
        <c:majorUnit val="0.2"/>
      </c:valAx>
      <c:spPr>
        <a:noFill/>
        <a:ln>
          <a:noFill/>
        </a:ln>
      </c:spPr>
    </c:plotArea>
    <c:plotVisOnly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Calcoli!$I$35</c:f>
              <c:strCache>
                <c:ptCount val="1"/>
                <c:pt idx="0">
                  <c:v>Giacenza finale</c:v>
                </c:pt>
              </c:strCache>
            </c:strRef>
          </c:tx>
          <c:spPr>
            <a:solidFill>
              <a:srgbClr val="E27A2F"/>
            </a:solidFill>
            <a:ln>
              <a:noFill/>
            </a:ln>
          </c:spPr>
          <c:dLbls>
            <c:numFmt formatCode="#,##0;;;" sourceLinked="0"/>
            <c:txPr>
              <a:bodyPr/>
              <a:lstStyle/>
              <a:p>
                <a:pPr>
                  <a:defRPr sz="750" b="1" baseline="0">
                    <a:solidFill>
                      <a:srgbClr val="1B2A41"/>
                    </a:solidFill>
                    <a:latin typeface="Segoe UI"/>
                  </a:defRPr>
                </a:pPr>
                <a:endParaRPr lang="en-US"/>
              </a:p>
            </c:txPr>
            <c:showVal val="1"/>
          </c:dLbls>
          <c:cat>
            <c:strRef>
              <c:f>Calcoli!$A$36:$A$40</c:f>
              <c:str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strCache>
            </c:strRef>
          </c:cat>
          <c:val>
            <c:numRef>
              <c:f>Calcoli!$I$36:$I$40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Calcoli!$J$35</c:f>
              <c:strCache>
                <c:ptCount val="1"/>
                <c:pt idx="0">
                  <c:v>Capacità</c:v>
                </c:pt>
              </c:strCache>
            </c:strRef>
          </c:tx>
          <c:spPr>
            <a:solidFill>
              <a:srgbClr val="2C5F93"/>
            </a:solidFill>
            <a:ln>
              <a:noFill/>
            </a:ln>
          </c:spPr>
          <c:dLbls>
            <c:numFmt formatCode="#,##0;;;" sourceLinked="0"/>
            <c:txPr>
              <a:bodyPr/>
              <a:lstStyle/>
              <a:p>
                <a:pPr>
                  <a:defRPr sz="750" b="1" baseline="0">
                    <a:solidFill>
                      <a:srgbClr val="1B2A41"/>
                    </a:solidFill>
                    <a:latin typeface="Segoe UI"/>
                  </a:defRPr>
                </a:pPr>
                <a:endParaRPr lang="en-US"/>
              </a:p>
            </c:txPr>
            <c:showVal val="1"/>
          </c:dLbls>
          <c:cat>
            <c:strRef>
              <c:f>Calcoli!$A$36:$A$40</c:f>
              <c:strCache>
                <c:ptCount val="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</c:strCache>
            </c:strRef>
          </c:cat>
          <c:val>
            <c:numRef>
              <c:f>Calcoli!$J$36:$J$40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gapWidth val="70"/>
        <c:overlap val="-8"/>
        <c:axId val="50050001"/>
        <c:axId val="50050002"/>
      </c:barChart>
      <c:catAx>
        <c:axId val="5005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C9D3DF"/>
            </a:solidFill>
          </a:ln>
        </c:spPr>
        <c:txPr>
          <a:bodyPr/>
          <a:lstStyle/>
          <a:p>
            <a:pPr>
              <a:defRPr sz="800" baseline="0">
                <a:solidFill>
                  <a:srgbClr val="44546A"/>
                </a:solidFill>
                <a:latin typeface="Segoe UI"/>
              </a:defRPr>
            </a:pPr>
            <a:endParaRPr lang="en-US"/>
          </a:p>
        </c:txPr>
        <c:crossAx val="50050002"/>
        <c:crosses val="autoZero"/>
        <c:auto val="1"/>
        <c:lblAlgn val="ctr"/>
        <c:lblOffset val="100"/>
      </c:catAx>
      <c:valAx>
        <c:axId val="50050002"/>
        <c:scaling>
          <c:orientation val="minMax"/>
          <c:min val="0"/>
        </c:scaling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44546A"/>
                </a:solidFill>
                <a:latin typeface="Segoe UI"/>
              </a:defRPr>
            </a:pPr>
            <a:endParaRPr lang="en-US"/>
          </a:p>
        </c:txPr>
        <c:crossAx val="50050001"/>
        <c:crosses val="autoZero"/>
        <c:crossBetween val="between"/>
      </c:valAx>
      <c:spPr>
        <a:noFill/>
        <a:ln>
          <a:noFill/>
        </a:ln>
      </c:spPr>
    </c:plotArea>
    <c:legend>
      <c:legendPos val="t"/>
      <c:layout/>
      <c:txPr>
        <a:bodyPr/>
        <a:lstStyle/>
        <a:p>
          <a:pPr>
            <a:defRPr sz="800" baseline="0">
              <a:solidFill>
                <a:srgbClr val="44546A"/>
              </a:solidFill>
              <a:latin typeface="Segoe UI"/>
            </a:defRPr>
          </a:pPr>
          <a:endParaRPr lang="en-US"/>
        </a:p>
      </c:txPr>
    </c:legend>
    <c:plotVisOnly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lineChart>
        <c:grouping val="standard"/>
        <c:ser>
          <c:idx val="0"/>
          <c:order val="0"/>
          <c:tx>
            <c:strRef>
              <c:f>Calcoli!$D$54</c:f>
              <c:strCache>
                <c:ptCount val="1"/>
                <c:pt idx="0">
                  <c:v>Spediti</c:v>
                </c:pt>
              </c:strCache>
            </c:strRef>
          </c:tx>
          <c:spPr>
            <a:ln w="28575">
              <a:solidFill>
                <a:srgbClr val="1F3D73"/>
              </a:solidFill>
            </a:ln>
          </c:spPr>
          <c:marker>
            <c:symbol val="circle"/>
            <c:size val="6"/>
            <c:spPr>
              <a:solidFill>
                <a:srgbClr val="1F3D73"/>
              </a:solidFill>
              <a:ln>
                <a:solidFill>
                  <a:srgbClr val="FFFFFF"/>
                </a:solidFill>
              </a:ln>
            </c:spPr>
          </c:marker>
          <c:cat>
            <c:strRef>
              <c:f>Calcoli!$B$55:$B$60</c:f>
              <c:strCache>
                <c:ptCount val="6"/>
                <c:pt idx="0">
                  <c:v>Lug-26</c:v>
                </c:pt>
                <c:pt idx="1">
                  <c:v>Ago-26</c:v>
                </c:pt>
                <c:pt idx="2">
                  <c:v>Set-26</c:v>
                </c:pt>
                <c:pt idx="3">
                  <c:v>Ott-26</c:v>
                </c:pt>
                <c:pt idx="4">
                  <c:v>Nov-26</c:v>
                </c:pt>
                <c:pt idx="5">
                  <c:v>Dic-26</c:v>
                </c:pt>
              </c:strCache>
            </c:strRef>
          </c:cat>
          <c:val>
            <c:numRef>
              <c:f>Calcoli!$D$55:$D$60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Calcoli!$C$54</c:f>
              <c:strCache>
                <c:ptCount val="1"/>
                <c:pt idx="0">
                  <c:v>Ricevuti</c:v>
                </c:pt>
              </c:strCache>
            </c:strRef>
          </c:tx>
          <c:spPr>
            <a:ln w="28575">
              <a:solidFill>
                <a:srgbClr val="E27A2F"/>
              </a:solidFill>
            </a:ln>
          </c:spPr>
          <c:marker>
            <c:symbol val="circle"/>
            <c:size val="6"/>
            <c:spPr>
              <a:solidFill>
                <a:srgbClr val="E27A2F"/>
              </a:solidFill>
              <a:ln>
                <a:solidFill>
                  <a:srgbClr val="FFFFFF"/>
                </a:solidFill>
              </a:ln>
            </c:spPr>
          </c:marker>
          <c:cat>
            <c:strRef>
              <c:f>Calcoli!$B$55:$B$60</c:f>
              <c:strCache>
                <c:ptCount val="6"/>
                <c:pt idx="0">
                  <c:v>Lug-26</c:v>
                </c:pt>
                <c:pt idx="1">
                  <c:v>Ago-26</c:v>
                </c:pt>
                <c:pt idx="2">
                  <c:v>Set-26</c:v>
                </c:pt>
                <c:pt idx="3">
                  <c:v>Ott-26</c:v>
                </c:pt>
                <c:pt idx="4">
                  <c:v>Nov-26</c:v>
                </c:pt>
                <c:pt idx="5">
                  <c:v>Dic-26</c:v>
                </c:pt>
              </c:strCache>
            </c:strRef>
          </c:cat>
          <c:val>
            <c:numRef>
              <c:f>Calcoli!$C$55:$C$60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marker val="1"/>
        <c:axId val="50060001"/>
        <c:axId val="50060002"/>
      </c:lineChart>
      <c:catAx>
        <c:axId val="5006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C9D3DF"/>
            </a:solidFill>
          </a:ln>
        </c:spPr>
        <c:txPr>
          <a:bodyPr/>
          <a:lstStyle/>
          <a:p>
            <a:pPr>
              <a:defRPr sz="800" baseline="0">
                <a:solidFill>
                  <a:srgbClr val="44546A"/>
                </a:solidFill>
                <a:latin typeface="Segoe UI"/>
              </a:defRPr>
            </a:pPr>
            <a:endParaRPr lang="en-US"/>
          </a:p>
        </c:txPr>
        <c:crossAx val="50060002"/>
        <c:crosses val="autoZero"/>
        <c:auto val="1"/>
        <c:lblAlgn val="ctr"/>
        <c:lblOffset val="100"/>
      </c:catAx>
      <c:valAx>
        <c:axId val="50060002"/>
        <c:scaling>
          <c:orientation val="minMax"/>
          <c:min val="0"/>
        </c:scaling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800" b="0" baseline="0">
                    <a:solidFill>
                      <a:srgbClr val="44546A"/>
                    </a:solidFill>
                    <a:latin typeface="Segoe UI"/>
                  </a:defRPr>
                </a:pPr>
                <a:r>
                  <a:rPr lang="en-US" sz="800" b="0" baseline="0">
                    <a:solidFill>
                      <a:srgbClr val="44546A"/>
                    </a:solidFill>
                    <a:latin typeface="Segoe UI"/>
                  </a:rPr>
                  <a:t>Unità</a:t>
                </a:r>
              </a:p>
            </c:rich>
          </c:tx>
          <c:layout/>
        </c:title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44546A"/>
                </a:solidFill>
                <a:latin typeface="Segoe UI"/>
              </a:defRPr>
            </a:pPr>
            <a:endParaRPr lang="en-US"/>
          </a:p>
        </c:txPr>
        <c:crossAx val="50060001"/>
        <c:crosses val="autoZero"/>
        <c:crossBetween val="between"/>
      </c:valAx>
      <c:spPr>
        <a:noFill/>
        <a:ln>
          <a:noFill/>
        </a:ln>
      </c:spPr>
    </c:plotArea>
    <c:legend>
      <c:legendPos val="t"/>
      <c:layout/>
      <c:txPr>
        <a:bodyPr/>
        <a:lstStyle/>
        <a:p>
          <a:pPr>
            <a:defRPr sz="800" baseline="0">
              <a:solidFill>
                <a:srgbClr val="44546A"/>
              </a:solidFill>
              <a:latin typeface="Segoe UI"/>
            </a:defRPr>
          </a:pPr>
          <a:endParaRPr lang="en-US"/>
        </a:p>
      </c:txPr>
    </c:legend>
    <c:plotVisOnly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pieChart>
        <c:varyColors val="1"/>
        <c:ser>
          <c:idx val="0"/>
          <c:order val="0"/>
          <c:tx>
            <c:v>Quota ricevuti</c:v>
          </c:tx>
          <c:dPt>
            <c:idx val="0"/>
            <c:spPr>
              <a:solidFill>
                <a:srgbClr val="2E75B6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ED7D31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A5A5A5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FFC000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264478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spPr>
              <a:solidFill>
                <a:srgbClr val="70AD47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;;;" sourceLinked="0"/>
            <c:txPr>
              <a:bodyPr/>
              <a:lstStyle/>
              <a:p>
                <a:pPr>
                  <a:defRPr sz="800" b="1" baseline="0">
                    <a:solidFill>
                      <a:srgbClr val="FFFFFF"/>
                    </a:solidFill>
                    <a:latin typeface="Segoe UI"/>
                  </a:defRPr>
                </a:pPr>
                <a:endParaRPr lang="en-US"/>
              </a:p>
            </c:txPr>
            <c:dLblPos val="ctr"/>
            <c:showPercent val="1"/>
          </c:dLbls>
          <c:cat>
            <c:strRef>
              <c:f>Calcoli!$A$45:$A$50</c:f>
              <c:strCache>
                <c:ptCount val="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</c:strCache>
            </c:strRef>
          </c:cat>
          <c:val>
            <c:numRef>
              <c:f>Calcoli!$C$45:$C$50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firstSliceAng val="0"/>
      </c:pieChart>
      <c:spPr>
        <a:noFill/>
        <a:ln>
          <a:noFill/>
        </a:ln>
      </c:spPr>
    </c:plotArea>
    <c:legend>
      <c:legendPos val="r"/>
      <c:layout/>
      <c:txPr>
        <a:bodyPr/>
        <a:lstStyle/>
        <a:p>
          <a:pPr rtl="0">
            <a:defRPr sz="800" baseline="0">
              <a:solidFill>
                <a:srgbClr val="44546A"/>
              </a:solidFill>
              <a:latin typeface="Segoe UI"/>
            </a:defRPr>
          </a:pPr>
          <a:endParaRPr lang="en-US"/>
        </a:p>
      </c:txPr>
    </c:legend>
    <c:plotVisOnly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hyperlink" Target="#'Dashboard'!A1"/><Relationship Id="rId18" Type="http://schemas.openxmlformats.org/officeDocument/2006/relationships/image" Target="../media/image17.png"/><Relationship Id="rId19" Type="http://schemas.openxmlformats.org/officeDocument/2006/relationships/image" Target="../media/image18.png"/><Relationship Id="rId20" Type="http://schemas.openxmlformats.org/officeDocument/2006/relationships/hyperlink" Target="#'Dati Magazzino'!A1"/><Relationship Id="rId21" Type="http://schemas.openxmlformats.org/officeDocument/2006/relationships/image" Target="../media/image19.png"/><Relationship Id="rId22" Type="http://schemas.openxmlformats.org/officeDocument/2006/relationships/hyperlink" Target="#'Anagrafica Prodotti'!A1"/><Relationship Id="rId23" Type="http://schemas.openxmlformats.org/officeDocument/2006/relationships/image" Target="../media/image20.png"/><Relationship Id="rId24" Type="http://schemas.openxmlformats.org/officeDocument/2006/relationships/hyperlink" Target="#'Riepilogo Magazzini'!A1"/><Relationship Id="rId25" Type="http://schemas.openxmlformats.org/officeDocument/2006/relationships/image" Target="../media/image21.png"/><Relationship Id="rId26" Type="http://schemas.openxmlformats.org/officeDocument/2006/relationships/image" Target="../media/image22.png"/><Relationship Id="rId27" Type="http://schemas.openxmlformats.org/officeDocument/2006/relationships/image" Target="../media/image23.png"/><Relationship Id="rId28" Type="http://schemas.openxmlformats.org/officeDocument/2006/relationships/image" Target="../media/image24.png"/><Relationship Id="rId29" Type="http://schemas.openxmlformats.org/officeDocument/2006/relationships/image" Target="../media/image25.png"/><Relationship Id="rId30" Type="http://schemas.openxmlformats.org/officeDocument/2006/relationships/image" Target="../media/image26.png"/><Relationship Id="rId31" Type="http://schemas.openxmlformats.org/officeDocument/2006/relationships/image" Target="../media/image27.png"/><Relationship Id="rId32" Type="http://schemas.openxmlformats.org/officeDocument/2006/relationships/image" Target="../media/image28.png"/><Relationship Id="rId33" Type="http://schemas.openxmlformats.org/officeDocument/2006/relationships/image" Target="../media/image29.png"/><Relationship Id="rId34" Type="http://schemas.openxmlformats.org/officeDocument/2006/relationships/image" Target="../media/image30.png"/><Relationship Id="rId35" Type="http://schemas.openxmlformats.org/officeDocument/2006/relationships/image" Target="../media/image31.png"/><Relationship Id="rId36" Type="http://schemas.openxmlformats.org/officeDocument/2006/relationships/image" Target="../media/image32.png"/><Relationship Id="rId37" Type="http://schemas.openxmlformats.org/officeDocument/2006/relationships/image" Target="../media/image33.png"/><Relationship Id="rId38" Type="http://schemas.openxmlformats.org/officeDocument/2006/relationships/image" Target="../media/image34.png"/><Relationship Id="rId39" Type="http://schemas.openxmlformats.org/officeDocument/2006/relationships/image" Target="../media/image35.png"/><Relationship Id="rId40" Type="http://schemas.openxmlformats.org/officeDocument/2006/relationships/image" Target="../media/image36.png"/><Relationship Id="rId41" Type="http://schemas.openxmlformats.org/officeDocument/2006/relationships/image" Target="../media/image37.png"/><Relationship Id="rId42" Type="http://schemas.openxmlformats.org/officeDocument/2006/relationships/image" Target="../media/image38.png"/><Relationship Id="rId43" Type="http://schemas.openxmlformats.org/officeDocument/2006/relationships/image" Target="../media/image39.png"/><Relationship Id="rId44" Type="http://schemas.openxmlformats.org/officeDocument/2006/relationships/image" Target="../media/image40.png"/><Relationship Id="rId45" Type="http://schemas.openxmlformats.org/officeDocument/2006/relationships/image" Target="../media/image41.png"/><Relationship Id="rId46" Type="http://schemas.openxmlformats.org/officeDocument/2006/relationships/image" Target="../media/image42.png"/><Relationship Id="rId47" Type="http://schemas.openxmlformats.org/officeDocument/2006/relationships/image" Target="../media/image43.png"/><Relationship Id="rId48" Type="http://schemas.openxmlformats.org/officeDocument/2006/relationships/image" Target="../media/image44.png"/><Relationship Id="rId49" Type="http://schemas.openxmlformats.org/officeDocument/2006/relationships/image" Target="../media/image45.png"/><Relationship Id="rId50" Type="http://schemas.openxmlformats.org/officeDocument/2006/relationships/image" Target="../media/image46.png"/><Relationship Id="rId51" Type="http://schemas.openxmlformats.org/officeDocument/2006/relationships/image" Target="../media/image47.png"/><Relationship Id="rId52" Type="http://schemas.openxmlformats.org/officeDocument/2006/relationships/image" Target="../media/image48.png"/><Relationship Id="rId53" Type="http://schemas.openxmlformats.org/officeDocument/2006/relationships/image" Target="../media/image49.png"/><Relationship Id="rId54" Type="http://schemas.openxmlformats.org/officeDocument/2006/relationships/image" Target="../media/image50.png"/><Relationship Id="rId55" Type="http://schemas.openxmlformats.org/officeDocument/2006/relationships/image" Target="../media/image51.png"/><Relationship Id="rId56" Type="http://schemas.openxmlformats.org/officeDocument/2006/relationships/image" Target="../media/image52.png"/><Relationship Id="rId57" Type="http://schemas.openxmlformats.org/officeDocument/2006/relationships/image" Target="../media/image53.png"/><Relationship Id="rId58" Type="http://schemas.openxmlformats.org/officeDocument/2006/relationships/image" Target="../media/image54.png"/><Relationship Id="rId59" Type="http://schemas.openxmlformats.org/officeDocument/2006/relationships/image" Target="../media/image55.png"/><Relationship Id="rId60" Type="http://schemas.openxmlformats.org/officeDocument/2006/relationships/image" Target="../media/image56.png"/><Relationship Id="rId61" Type="http://schemas.openxmlformats.org/officeDocument/2006/relationships/image" Target="../media/image57.png"/><Relationship Id="rId62" Type="http://schemas.openxmlformats.org/officeDocument/2006/relationships/image" Target="../media/image58.png"/><Relationship Id="rId63" Type="http://schemas.openxmlformats.org/officeDocument/2006/relationships/image" Target="../media/image59.png"/><Relationship Id="rId64" Type="http://schemas.openxmlformats.org/officeDocument/2006/relationships/image" Target="../media/image60.png"/><Relationship Id="rId65" Type="http://schemas.openxmlformats.org/officeDocument/2006/relationships/image" Target="../media/image61.png"/><Relationship Id="rId66" Type="http://schemas.openxmlformats.org/officeDocument/2006/relationships/chart" Target="../charts/chart1.xml"/><Relationship Id="rId67" Type="http://schemas.openxmlformats.org/officeDocument/2006/relationships/chart" Target="../charts/chart2.xml"/><Relationship Id="rId68" Type="http://schemas.openxmlformats.org/officeDocument/2006/relationships/chart" Target="../charts/chart3.xml"/><Relationship Id="rId69" Type="http://schemas.openxmlformats.org/officeDocument/2006/relationships/chart" Target="../charts/chart4.xml"/><Relationship Id="rId70" Type="http://schemas.openxmlformats.org/officeDocument/2006/relationships/chart" Target="../charts/chart5.xml"/><Relationship Id="rId71" Type="http://schemas.openxmlformats.org/officeDocument/2006/relationships/chart" Target="../charts/chart6.xml"/><Relationship Id="rId72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3</xdr:row>
      <xdr:rowOff>9525</xdr:rowOff>
    </xdr:from>
    <xdr:to>
      <xdr:col>8</xdr:col>
      <xdr:colOff>161905</xdr:colOff>
      <xdr:row>13</xdr:row>
      <xdr:rowOff>66655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61925"/>
          <a:ext cx="552430" cy="552430"/>
        </a:xfrm>
        <a:prstGeom prst="rect">
          <a:avLst/>
        </a:prstGeom>
      </xdr:spPr>
    </xdr:pic>
    <xdr:clientData/>
  </xdr:twoCellAnchor>
  <xdr:twoCellAnchor>
    <xdr:from>
      <xdr:col>75</xdr:col>
      <xdr:colOff>0</xdr:colOff>
      <xdr:row>8</xdr:row>
      <xdr:rowOff>0</xdr:rowOff>
    </xdr:from>
    <xdr:to>
      <xdr:col>76</xdr:col>
      <xdr:colOff>0</xdr:colOff>
      <xdr:row>10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67700" y="381000"/>
          <a:ext cx="38100" cy="38100"/>
        </a:xfrm>
        <a:prstGeom prst="rect">
          <a:avLst/>
        </a:prstGeom>
      </xdr:spPr>
    </xdr:pic>
    <xdr:clientData/>
  </xdr:twoCellAnchor>
  <xdr:twoCellAnchor>
    <xdr:from>
      <xdr:col>101</xdr:col>
      <xdr:colOff>0</xdr:colOff>
      <xdr:row>8</xdr:row>
      <xdr:rowOff>0</xdr:rowOff>
    </xdr:from>
    <xdr:to>
      <xdr:col>102</xdr:col>
      <xdr:colOff>0</xdr:colOff>
      <xdr:row>10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91800" y="381000"/>
          <a:ext cx="38100" cy="38100"/>
        </a:xfrm>
        <a:prstGeom prst="rect">
          <a:avLst/>
        </a:prstGeom>
      </xdr:spPr>
    </xdr:pic>
    <xdr:clientData/>
  </xdr:twoCellAnchor>
  <xdr:twoCellAnchor>
    <xdr:from>
      <xdr:col>75</xdr:col>
      <xdr:colOff>0</xdr:colOff>
      <xdr:row>12</xdr:row>
      <xdr:rowOff>0</xdr:rowOff>
    </xdr:from>
    <xdr:to>
      <xdr:col>76</xdr:col>
      <xdr:colOff>0</xdr:colOff>
      <xdr:row>13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67700" y="609600"/>
          <a:ext cx="38100" cy="38100"/>
        </a:xfrm>
        <a:prstGeom prst="rect">
          <a:avLst/>
        </a:prstGeom>
      </xdr:spPr>
    </xdr:pic>
    <xdr:clientData/>
  </xdr:twoCellAnchor>
  <xdr:twoCellAnchor>
    <xdr:from>
      <xdr:col>101</xdr:col>
      <xdr:colOff>0</xdr:colOff>
      <xdr:row>12</xdr:row>
      <xdr:rowOff>0</xdr:rowOff>
    </xdr:from>
    <xdr:to>
      <xdr:col>102</xdr:col>
      <xdr:colOff>0</xdr:colOff>
      <xdr:row>13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591800" y="609600"/>
          <a:ext cx="38100" cy="38100"/>
        </a:xfrm>
        <a:prstGeom prst="rect">
          <a:avLst/>
        </a:prstGeom>
      </xdr:spPr>
    </xdr:pic>
    <xdr:clientData/>
  </xdr:twoCellAnchor>
  <xdr:twoCellAnchor>
    <xdr:from>
      <xdr:col>104</xdr:col>
      <xdr:colOff>0</xdr:colOff>
      <xdr:row>3</xdr:row>
      <xdr:rowOff>0</xdr:rowOff>
    </xdr:from>
    <xdr:to>
      <xdr:col>105</xdr:col>
      <xdr:colOff>0</xdr:colOff>
      <xdr:row>6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82300" y="152400"/>
          <a:ext cx="76200" cy="76200"/>
        </a:xfrm>
        <a:prstGeom prst="rect">
          <a:avLst/>
        </a:prstGeom>
      </xdr:spPr>
    </xdr:pic>
    <xdr:clientData/>
  </xdr:twoCellAnchor>
  <xdr:twoCellAnchor>
    <xdr:from>
      <xdr:col>125</xdr:col>
      <xdr:colOff>0</xdr:colOff>
      <xdr:row>3</xdr:row>
      <xdr:rowOff>0</xdr:rowOff>
    </xdr:from>
    <xdr:to>
      <xdr:col>128</xdr:col>
      <xdr:colOff>0</xdr:colOff>
      <xdr:row>6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496800" y="152400"/>
          <a:ext cx="76200" cy="76200"/>
        </a:xfrm>
        <a:prstGeom prst="rect">
          <a:avLst/>
        </a:prstGeom>
      </xdr:spPr>
    </xdr:pic>
    <xdr:clientData/>
  </xdr:twoCellAnchor>
  <xdr:twoCellAnchor>
    <xdr:from>
      <xdr:col>104</xdr:col>
      <xdr:colOff>0</xdr:colOff>
      <xdr:row>13</xdr:row>
      <xdr:rowOff>0</xdr:rowOff>
    </xdr:from>
    <xdr:to>
      <xdr:col>105</xdr:col>
      <xdr:colOff>0</xdr:colOff>
      <xdr:row>14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782300" y="647700"/>
          <a:ext cx="76200" cy="76200"/>
        </a:xfrm>
        <a:prstGeom prst="rect">
          <a:avLst/>
        </a:prstGeom>
      </xdr:spPr>
    </xdr:pic>
    <xdr:clientData/>
  </xdr:twoCellAnchor>
  <xdr:twoCellAnchor>
    <xdr:from>
      <xdr:col>125</xdr:col>
      <xdr:colOff>0</xdr:colOff>
      <xdr:row>13</xdr:row>
      <xdr:rowOff>0</xdr:rowOff>
    </xdr:from>
    <xdr:to>
      <xdr:col>128</xdr:col>
      <xdr:colOff>0</xdr:colOff>
      <xdr:row>14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496800" y="647700"/>
          <a:ext cx="76200" cy="76200"/>
        </a:xfrm>
        <a:prstGeom prst="rect">
          <a:avLst/>
        </a:prstGeom>
      </xdr:spPr>
    </xdr:pic>
    <xdr:clientData/>
  </xdr:twoCellAnchor>
  <xdr:twoCellAnchor editAs="oneCell">
    <xdr:from>
      <xdr:col>105</xdr:col>
      <xdr:colOff>57150</xdr:colOff>
      <xdr:row>6</xdr:row>
      <xdr:rowOff>66675</xdr:rowOff>
    </xdr:from>
    <xdr:to>
      <xdr:col>110</xdr:col>
      <xdr:colOff>38089</xdr:colOff>
      <xdr:row>11</xdr:row>
      <xdr:rowOff>47614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915650" y="295275"/>
          <a:ext cx="285739" cy="285739"/>
        </a:xfrm>
        <a:prstGeom prst="rect">
          <a:avLst/>
        </a:prstGeom>
      </xdr:spPr>
    </xdr:pic>
    <xdr:clientData/>
  </xdr:twoCellAnchor>
  <xdr:twoCellAnchor editAs="oneCell">
    <xdr:from>
      <xdr:col>128</xdr:col>
      <xdr:colOff>190500</xdr:colOff>
      <xdr:row>0</xdr:row>
      <xdr:rowOff>0</xdr:rowOff>
    </xdr:from>
    <xdr:to>
      <xdr:col>159</xdr:col>
      <xdr:colOff>114181</xdr:colOff>
      <xdr:row>15</xdr:row>
      <xdr:rowOff>114268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763500" y="0"/>
          <a:ext cx="3238381" cy="8762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19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5250" y="990600"/>
          <a:ext cx="57150" cy="5715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17</xdr:row>
      <xdr:rowOff>0</xdr:rowOff>
    </xdr:from>
    <xdr:to>
      <xdr:col>16</xdr:col>
      <xdr:colOff>0</xdr:colOff>
      <xdr:row>19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409700" y="990600"/>
          <a:ext cx="57150" cy="571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5250" y="1295400"/>
          <a:ext cx="57150" cy="5715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09700" y="1295400"/>
          <a:ext cx="57150" cy="5715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19</xdr:row>
      <xdr:rowOff>19050</xdr:rowOff>
    </xdr:from>
    <xdr:to>
      <xdr:col>5</xdr:col>
      <xdr:colOff>38092</xdr:colOff>
      <xdr:row>20</xdr:row>
      <xdr:rowOff>190492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90500" y="1066800"/>
          <a:ext cx="209542" cy="209542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16</xdr:col>
      <xdr:colOff>0</xdr:colOff>
      <xdr:row>23</xdr:row>
      <xdr:rowOff>0</xdr:rowOff>
    </xdr:to>
    <xdr:pic>
      <xdr:nvPicPr>
        <xdr:cNvPr id="18" name="Picture 17" descr="Vai al foglio Dashboard">
          <a:hlinkClick xmlns:r="http://schemas.openxmlformats.org/officeDocument/2006/relationships" r:id="rId17" tooltip="Vai al foglio Dashboard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5250" y="990600"/>
          <a:ext cx="1371600" cy="3619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26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5250" y="1409700"/>
          <a:ext cx="57150" cy="5715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24</xdr:row>
      <xdr:rowOff>0</xdr:rowOff>
    </xdr:from>
    <xdr:to>
      <xdr:col>16</xdr:col>
      <xdr:colOff>0</xdr:colOff>
      <xdr:row>26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409700" y="1409700"/>
          <a:ext cx="57150" cy="571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5250" y="1714500"/>
          <a:ext cx="57150" cy="5715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30</xdr:row>
      <xdr:rowOff>0</xdr:rowOff>
    </xdr:from>
    <xdr:to>
      <xdr:col>16</xdr:col>
      <xdr:colOff>0</xdr:colOff>
      <xdr:row>31</xdr:row>
      <xdr:rowOff>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09700" y="1714500"/>
          <a:ext cx="57150" cy="5715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26</xdr:row>
      <xdr:rowOff>19050</xdr:rowOff>
    </xdr:from>
    <xdr:to>
      <xdr:col>5</xdr:col>
      <xdr:colOff>38092</xdr:colOff>
      <xdr:row>29</xdr:row>
      <xdr:rowOff>38092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90500" y="1485900"/>
          <a:ext cx="209542" cy="209542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16</xdr:col>
      <xdr:colOff>0</xdr:colOff>
      <xdr:row>31</xdr:row>
      <xdr:rowOff>0</xdr:rowOff>
    </xdr:to>
    <xdr:pic>
      <xdr:nvPicPr>
        <xdr:cNvPr id="24" name="Picture 23" descr="Vai al foglio Dati Magazzino">
          <a:hlinkClick xmlns:r="http://schemas.openxmlformats.org/officeDocument/2006/relationships" r:id="rId20" tooltip="Vai al foglio Dati Magazzino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5250" y="1409700"/>
          <a:ext cx="1371600" cy="3619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5250" y="1828800"/>
          <a:ext cx="57150" cy="5715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34</xdr:row>
      <xdr:rowOff>0</xdr:rowOff>
    </xdr:from>
    <xdr:to>
      <xdr:col>16</xdr:col>
      <xdr:colOff>0</xdr:colOff>
      <xdr:row>35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409700" y="1828800"/>
          <a:ext cx="57150" cy="571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41</xdr:row>
      <xdr:rowOff>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5250" y="2133600"/>
          <a:ext cx="57150" cy="5715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39</xdr:row>
      <xdr:rowOff>0</xdr:rowOff>
    </xdr:from>
    <xdr:to>
      <xdr:col>16</xdr:col>
      <xdr:colOff>0</xdr:colOff>
      <xdr:row>41</xdr:row>
      <xdr:rowOff>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09700" y="2133600"/>
          <a:ext cx="57150" cy="5715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35</xdr:row>
      <xdr:rowOff>19050</xdr:rowOff>
    </xdr:from>
    <xdr:to>
      <xdr:col>5</xdr:col>
      <xdr:colOff>38092</xdr:colOff>
      <xdr:row>38</xdr:row>
      <xdr:rowOff>76192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0500" y="1905000"/>
          <a:ext cx="209542" cy="209542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16</xdr:col>
      <xdr:colOff>0</xdr:colOff>
      <xdr:row>41</xdr:row>
      <xdr:rowOff>0</xdr:rowOff>
    </xdr:to>
    <xdr:pic>
      <xdr:nvPicPr>
        <xdr:cNvPr id="30" name="Picture 29" descr="Vai al foglio Anagrafica Prodotti">
          <a:hlinkClick xmlns:r="http://schemas.openxmlformats.org/officeDocument/2006/relationships" r:id="rId22" tooltip="Vai al foglio Anagrafica Prodotti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5250" y="1828800"/>
          <a:ext cx="1371600" cy="3619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5250" y="2247900"/>
          <a:ext cx="57150" cy="5715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43</xdr:row>
      <xdr:rowOff>0</xdr:rowOff>
    </xdr:from>
    <xdr:to>
      <xdr:col>16</xdr:col>
      <xdr:colOff>0</xdr:colOff>
      <xdr:row>44</xdr:row>
      <xdr:rowOff>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409700" y="2247900"/>
          <a:ext cx="57150" cy="571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49</xdr:row>
      <xdr:rowOff>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5250" y="2552700"/>
          <a:ext cx="57150" cy="5715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16</xdr:col>
      <xdr:colOff>0</xdr:colOff>
      <xdr:row>49</xdr:row>
      <xdr:rowOff>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09700" y="2552700"/>
          <a:ext cx="57150" cy="5715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44</xdr:row>
      <xdr:rowOff>19050</xdr:rowOff>
    </xdr:from>
    <xdr:to>
      <xdr:col>5</xdr:col>
      <xdr:colOff>38092</xdr:colOff>
      <xdr:row>46</xdr:row>
      <xdr:rowOff>133342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90500" y="2324100"/>
          <a:ext cx="209542" cy="209542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16</xdr:col>
      <xdr:colOff>0</xdr:colOff>
      <xdr:row>49</xdr:row>
      <xdr:rowOff>0</xdr:rowOff>
    </xdr:to>
    <xdr:pic>
      <xdr:nvPicPr>
        <xdr:cNvPr id="36" name="Picture 35" descr="Vai al foglio Riepilogo Magazzini">
          <a:hlinkClick xmlns:r="http://schemas.openxmlformats.org/officeDocument/2006/relationships" r:id="rId24" tooltip="Vai al foglio Riepilogo Magazzini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5250" y="2247900"/>
          <a:ext cx="1371600" cy="361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53</xdr:row>
      <xdr:rowOff>0</xdr:rowOff>
    </xdr:from>
    <xdr:to>
      <xdr:col>3</xdr:col>
      <xdr:colOff>0</xdr:colOff>
      <xdr:row>56</xdr:row>
      <xdr:rowOff>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6200" y="2724150"/>
          <a:ext cx="76200" cy="7620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53</xdr:row>
      <xdr:rowOff>0</xdr:rowOff>
    </xdr:from>
    <xdr:to>
      <xdr:col>17</xdr:col>
      <xdr:colOff>0</xdr:colOff>
      <xdr:row>56</xdr:row>
      <xdr:rowOff>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409700" y="2724150"/>
          <a:ext cx="76200" cy="762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74</xdr:row>
      <xdr:rowOff>0</xdr:rowOff>
    </xdr:from>
    <xdr:to>
      <xdr:col>3</xdr:col>
      <xdr:colOff>0</xdr:colOff>
      <xdr:row>76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6200" y="3657600"/>
          <a:ext cx="76200" cy="7620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74</xdr:row>
      <xdr:rowOff>0</xdr:rowOff>
    </xdr:from>
    <xdr:to>
      <xdr:col>17</xdr:col>
      <xdr:colOff>0</xdr:colOff>
      <xdr:row>76</xdr:row>
      <xdr:rowOff>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409700" y="3657600"/>
          <a:ext cx="76200" cy="76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55</xdr:row>
      <xdr:rowOff>19050</xdr:rowOff>
    </xdr:from>
    <xdr:to>
      <xdr:col>3</xdr:col>
      <xdr:colOff>171444</xdr:colOff>
      <xdr:row>60</xdr:row>
      <xdr:rowOff>9519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71450" y="2781300"/>
          <a:ext cx="152394" cy="152394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77</xdr:row>
      <xdr:rowOff>0</xdr:rowOff>
    </xdr:from>
    <xdr:to>
      <xdr:col>3</xdr:col>
      <xdr:colOff>0</xdr:colOff>
      <xdr:row>80</xdr:row>
      <xdr:rowOff>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6200" y="3829050"/>
          <a:ext cx="76200" cy="7620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77</xdr:row>
      <xdr:rowOff>0</xdr:rowOff>
    </xdr:from>
    <xdr:to>
      <xdr:col>17</xdr:col>
      <xdr:colOff>0</xdr:colOff>
      <xdr:row>80</xdr:row>
      <xdr:rowOff>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409700" y="3829050"/>
          <a:ext cx="76200" cy="762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108</xdr:row>
      <xdr:rowOff>0</xdr:rowOff>
    </xdr:from>
    <xdr:to>
      <xdr:col>3</xdr:col>
      <xdr:colOff>0</xdr:colOff>
      <xdr:row>110</xdr:row>
      <xdr:rowOff>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6200" y="5219700"/>
          <a:ext cx="76200" cy="7620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108</xdr:row>
      <xdr:rowOff>0</xdr:rowOff>
    </xdr:from>
    <xdr:to>
      <xdr:col>17</xdr:col>
      <xdr:colOff>0</xdr:colOff>
      <xdr:row>110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409700" y="5219700"/>
          <a:ext cx="76200" cy="76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78</xdr:row>
      <xdr:rowOff>38100</xdr:rowOff>
    </xdr:from>
    <xdr:to>
      <xdr:col>3</xdr:col>
      <xdr:colOff>171444</xdr:colOff>
      <xdr:row>81</xdr:row>
      <xdr:rowOff>95244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71450" y="3886200"/>
          <a:ext cx="152394" cy="152394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111</xdr:row>
      <xdr:rowOff>0</xdr:rowOff>
    </xdr:from>
    <xdr:to>
      <xdr:col>3</xdr:col>
      <xdr:colOff>0</xdr:colOff>
      <xdr:row>114</xdr:row>
      <xdr:rowOff>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6200" y="5391150"/>
          <a:ext cx="76200" cy="7620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111</xdr:row>
      <xdr:rowOff>0</xdr:rowOff>
    </xdr:from>
    <xdr:to>
      <xdr:col>17</xdr:col>
      <xdr:colOff>0</xdr:colOff>
      <xdr:row>114</xdr:row>
      <xdr:rowOff>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409700" y="5391150"/>
          <a:ext cx="76200" cy="762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6200" y="7010400"/>
          <a:ext cx="76200" cy="7620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141</xdr:row>
      <xdr:rowOff>0</xdr:rowOff>
    </xdr:from>
    <xdr:to>
      <xdr:col>17</xdr:col>
      <xdr:colOff>0</xdr:colOff>
      <xdr:row>142</xdr:row>
      <xdr:rowOff>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409700" y="7010400"/>
          <a:ext cx="76200" cy="76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113</xdr:row>
      <xdr:rowOff>0</xdr:rowOff>
    </xdr:from>
    <xdr:to>
      <xdr:col>3</xdr:col>
      <xdr:colOff>171444</xdr:colOff>
      <xdr:row>116</xdr:row>
      <xdr:rowOff>57144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71450" y="5448300"/>
          <a:ext cx="152394" cy="152394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145</xdr:row>
      <xdr:rowOff>0</xdr:rowOff>
    </xdr:from>
    <xdr:to>
      <xdr:col>3</xdr:col>
      <xdr:colOff>0</xdr:colOff>
      <xdr:row>147</xdr:row>
      <xdr:rowOff>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6200" y="7200900"/>
          <a:ext cx="76200" cy="7620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145</xdr:row>
      <xdr:rowOff>0</xdr:rowOff>
    </xdr:from>
    <xdr:to>
      <xdr:col>17</xdr:col>
      <xdr:colOff>0</xdr:colOff>
      <xdr:row>147</xdr:row>
      <xdr:rowOff>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409700" y="7200900"/>
          <a:ext cx="76200" cy="762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156</xdr:row>
      <xdr:rowOff>0</xdr:rowOff>
    </xdr:from>
    <xdr:to>
      <xdr:col>3</xdr:col>
      <xdr:colOff>0</xdr:colOff>
      <xdr:row>158</xdr:row>
      <xdr:rowOff>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6200" y="8439150"/>
          <a:ext cx="76200" cy="7620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156</xdr:row>
      <xdr:rowOff>0</xdr:rowOff>
    </xdr:from>
    <xdr:to>
      <xdr:col>17</xdr:col>
      <xdr:colOff>0</xdr:colOff>
      <xdr:row>158</xdr:row>
      <xdr:rowOff>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409700" y="8439150"/>
          <a:ext cx="76200" cy="7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147</xdr:row>
      <xdr:rowOff>9525</xdr:rowOff>
    </xdr:from>
    <xdr:to>
      <xdr:col>3</xdr:col>
      <xdr:colOff>142870</xdr:colOff>
      <xdr:row>149</xdr:row>
      <xdr:rowOff>95245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52400" y="7286625"/>
          <a:ext cx="142870" cy="14287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95250" y="8686800"/>
          <a:ext cx="57150" cy="571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161</xdr:row>
      <xdr:rowOff>0</xdr:rowOff>
    </xdr:from>
    <xdr:to>
      <xdr:col>18</xdr:col>
      <xdr:colOff>0</xdr:colOff>
      <xdr:row>162</xdr:row>
      <xdr:rowOff>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447800" y="8686800"/>
          <a:ext cx="57150" cy="571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5250" y="8934450"/>
          <a:ext cx="57150" cy="571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163</xdr:row>
      <xdr:rowOff>0</xdr:rowOff>
    </xdr:from>
    <xdr:to>
      <xdr:col>18</xdr:col>
      <xdr:colOff>0</xdr:colOff>
      <xdr:row>164</xdr:row>
      <xdr:rowOff>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447800" y="8934450"/>
          <a:ext cx="57150" cy="571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161</xdr:row>
      <xdr:rowOff>0</xdr:rowOff>
    </xdr:from>
    <xdr:to>
      <xdr:col>18</xdr:col>
      <xdr:colOff>0</xdr:colOff>
      <xdr:row>164</xdr:row>
      <xdr:rowOff>0</xdr:rowOff>
    </xdr:to>
    <xdr:pic>
      <xdr:nvPicPr>
        <xdr:cNvPr id="61" name="Picture 60" descr="Vai al foglio Dashboard">
          <a:hlinkClick xmlns:r="http://schemas.openxmlformats.org/officeDocument/2006/relationships" r:id="rId17" tooltip="Vai al foglio Dashboard"/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95250" y="8686800"/>
          <a:ext cx="1409700" cy="304800"/>
        </a:xfrm>
        <a:prstGeom prst="rect">
          <a:avLst/>
        </a:prstGeom>
      </xdr:spPr>
    </xdr:pic>
    <xdr:clientData/>
  </xdr:twoCellAnchor>
  <xdr:twoCellAnchor>
    <xdr:from>
      <xdr:col>20</xdr:col>
      <xdr:colOff>0</xdr:colOff>
      <xdr:row>161</xdr:row>
      <xdr:rowOff>0</xdr:rowOff>
    </xdr:from>
    <xdr:to>
      <xdr:col>21</xdr:col>
      <xdr:colOff>0</xdr:colOff>
      <xdr:row>162</xdr:row>
      <xdr:rowOff>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581150" y="8686800"/>
          <a:ext cx="57150" cy="57150"/>
        </a:xfrm>
        <a:prstGeom prst="rect">
          <a:avLst/>
        </a:prstGeom>
      </xdr:spPr>
    </xdr:pic>
    <xdr:clientData/>
  </xdr:twoCellAnchor>
  <xdr:twoCellAnchor>
    <xdr:from>
      <xdr:col>31</xdr:col>
      <xdr:colOff>0</xdr:colOff>
      <xdr:row>161</xdr:row>
      <xdr:rowOff>0</xdr:rowOff>
    </xdr:from>
    <xdr:to>
      <xdr:col>32</xdr:col>
      <xdr:colOff>0</xdr:colOff>
      <xdr:row>162</xdr:row>
      <xdr:rowOff>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933700" y="8686800"/>
          <a:ext cx="57150" cy="57150"/>
        </a:xfrm>
        <a:prstGeom prst="rect">
          <a:avLst/>
        </a:prstGeom>
      </xdr:spPr>
    </xdr:pic>
    <xdr:clientData/>
  </xdr:twoCellAnchor>
  <xdr:twoCellAnchor>
    <xdr:from>
      <xdr:col>20</xdr:col>
      <xdr:colOff>0</xdr:colOff>
      <xdr:row>163</xdr:row>
      <xdr:rowOff>0</xdr:rowOff>
    </xdr:from>
    <xdr:to>
      <xdr:col>21</xdr:col>
      <xdr:colOff>0</xdr:colOff>
      <xdr:row>164</xdr:row>
      <xdr:rowOff>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581150" y="8934450"/>
          <a:ext cx="57150" cy="57150"/>
        </a:xfrm>
        <a:prstGeom prst="rect">
          <a:avLst/>
        </a:prstGeom>
      </xdr:spPr>
    </xdr:pic>
    <xdr:clientData/>
  </xdr:twoCellAnchor>
  <xdr:twoCellAnchor>
    <xdr:from>
      <xdr:col>31</xdr:col>
      <xdr:colOff>0</xdr:colOff>
      <xdr:row>163</xdr:row>
      <xdr:rowOff>0</xdr:rowOff>
    </xdr:from>
    <xdr:to>
      <xdr:col>32</xdr:col>
      <xdr:colOff>0</xdr:colOff>
      <xdr:row>164</xdr:row>
      <xdr:rowOff>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933700" y="8934450"/>
          <a:ext cx="57150" cy="57150"/>
        </a:xfrm>
        <a:prstGeom prst="rect">
          <a:avLst/>
        </a:prstGeom>
      </xdr:spPr>
    </xdr:pic>
    <xdr:clientData/>
  </xdr:twoCellAnchor>
  <xdr:twoCellAnchor>
    <xdr:from>
      <xdr:col>20</xdr:col>
      <xdr:colOff>0</xdr:colOff>
      <xdr:row>161</xdr:row>
      <xdr:rowOff>0</xdr:rowOff>
    </xdr:from>
    <xdr:to>
      <xdr:col>32</xdr:col>
      <xdr:colOff>0</xdr:colOff>
      <xdr:row>164</xdr:row>
      <xdr:rowOff>0</xdr:rowOff>
    </xdr:to>
    <xdr:pic>
      <xdr:nvPicPr>
        <xdr:cNvPr id="66" name="Picture 65" descr="Vai al foglio Dati Magazzino">
          <a:hlinkClick xmlns:r="http://schemas.openxmlformats.org/officeDocument/2006/relationships" r:id="rId20" tooltip="Vai al foglio Dati Magazzino"/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581150" y="8686800"/>
          <a:ext cx="1409700" cy="304800"/>
        </a:xfrm>
        <a:prstGeom prst="rect">
          <a:avLst/>
        </a:prstGeom>
      </xdr:spPr>
    </xdr:pic>
    <xdr:clientData/>
  </xdr:twoCellAnchor>
  <xdr:twoCellAnchor>
    <xdr:from>
      <xdr:col>33</xdr:col>
      <xdr:colOff>0</xdr:colOff>
      <xdr:row>161</xdr:row>
      <xdr:rowOff>0</xdr:rowOff>
    </xdr:from>
    <xdr:to>
      <xdr:col>34</xdr:col>
      <xdr:colOff>0</xdr:colOff>
      <xdr:row>162</xdr:row>
      <xdr:rowOff>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067050" y="8686800"/>
          <a:ext cx="57150" cy="57150"/>
        </a:xfrm>
        <a:prstGeom prst="rect">
          <a:avLst/>
        </a:prstGeom>
      </xdr:spPr>
    </xdr:pic>
    <xdr:clientData/>
  </xdr:twoCellAnchor>
  <xdr:twoCellAnchor>
    <xdr:from>
      <xdr:col>44</xdr:col>
      <xdr:colOff>0</xdr:colOff>
      <xdr:row>161</xdr:row>
      <xdr:rowOff>0</xdr:rowOff>
    </xdr:from>
    <xdr:to>
      <xdr:col>45</xdr:col>
      <xdr:colOff>0</xdr:colOff>
      <xdr:row>162</xdr:row>
      <xdr:rowOff>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419600" y="8686800"/>
          <a:ext cx="57150" cy="57150"/>
        </a:xfrm>
        <a:prstGeom prst="rect">
          <a:avLst/>
        </a:prstGeom>
      </xdr:spPr>
    </xdr:pic>
    <xdr:clientData/>
  </xdr:twoCellAnchor>
  <xdr:twoCellAnchor>
    <xdr:from>
      <xdr:col>33</xdr:col>
      <xdr:colOff>0</xdr:colOff>
      <xdr:row>163</xdr:row>
      <xdr:rowOff>0</xdr:rowOff>
    </xdr:from>
    <xdr:to>
      <xdr:col>34</xdr:col>
      <xdr:colOff>0</xdr:colOff>
      <xdr:row>164</xdr:row>
      <xdr:rowOff>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067050" y="8934450"/>
          <a:ext cx="57150" cy="57150"/>
        </a:xfrm>
        <a:prstGeom prst="rect">
          <a:avLst/>
        </a:prstGeom>
      </xdr:spPr>
    </xdr:pic>
    <xdr:clientData/>
  </xdr:twoCellAnchor>
  <xdr:twoCellAnchor>
    <xdr:from>
      <xdr:col>44</xdr:col>
      <xdr:colOff>0</xdr:colOff>
      <xdr:row>163</xdr:row>
      <xdr:rowOff>0</xdr:rowOff>
    </xdr:from>
    <xdr:to>
      <xdr:col>45</xdr:col>
      <xdr:colOff>0</xdr:colOff>
      <xdr:row>164</xdr:row>
      <xdr:rowOff>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419600" y="8934450"/>
          <a:ext cx="57150" cy="57150"/>
        </a:xfrm>
        <a:prstGeom prst="rect">
          <a:avLst/>
        </a:prstGeom>
      </xdr:spPr>
    </xdr:pic>
    <xdr:clientData/>
  </xdr:twoCellAnchor>
  <xdr:twoCellAnchor>
    <xdr:from>
      <xdr:col>33</xdr:col>
      <xdr:colOff>0</xdr:colOff>
      <xdr:row>161</xdr:row>
      <xdr:rowOff>0</xdr:rowOff>
    </xdr:from>
    <xdr:to>
      <xdr:col>45</xdr:col>
      <xdr:colOff>0</xdr:colOff>
      <xdr:row>164</xdr:row>
      <xdr:rowOff>0</xdr:rowOff>
    </xdr:to>
    <xdr:pic>
      <xdr:nvPicPr>
        <xdr:cNvPr id="71" name="Picture 70" descr="Vai al foglio Anagrafica Prodotti">
          <a:hlinkClick xmlns:r="http://schemas.openxmlformats.org/officeDocument/2006/relationships" r:id="rId22" tooltip="Vai al foglio Anagrafica Prodotti"/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067050" y="8686800"/>
          <a:ext cx="1409700" cy="304800"/>
        </a:xfrm>
        <a:prstGeom prst="rect">
          <a:avLst/>
        </a:prstGeom>
      </xdr:spPr>
    </xdr:pic>
    <xdr:clientData/>
  </xdr:twoCellAnchor>
  <xdr:twoCellAnchor>
    <xdr:from>
      <xdr:col>46</xdr:col>
      <xdr:colOff>0</xdr:colOff>
      <xdr:row>161</xdr:row>
      <xdr:rowOff>0</xdr:rowOff>
    </xdr:from>
    <xdr:to>
      <xdr:col>47</xdr:col>
      <xdr:colOff>0</xdr:colOff>
      <xdr:row>162</xdr:row>
      <xdr:rowOff>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552950" y="8686800"/>
          <a:ext cx="57150" cy="57150"/>
        </a:xfrm>
        <a:prstGeom prst="rect">
          <a:avLst/>
        </a:prstGeom>
      </xdr:spPr>
    </xdr:pic>
    <xdr:clientData/>
  </xdr:twoCellAnchor>
  <xdr:twoCellAnchor>
    <xdr:from>
      <xdr:col>55</xdr:col>
      <xdr:colOff>0</xdr:colOff>
      <xdr:row>161</xdr:row>
      <xdr:rowOff>0</xdr:rowOff>
    </xdr:from>
    <xdr:to>
      <xdr:col>56</xdr:col>
      <xdr:colOff>0</xdr:colOff>
      <xdr:row>162</xdr:row>
      <xdr:rowOff>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905500" y="8686800"/>
          <a:ext cx="57150" cy="57150"/>
        </a:xfrm>
        <a:prstGeom prst="rect">
          <a:avLst/>
        </a:prstGeom>
      </xdr:spPr>
    </xdr:pic>
    <xdr:clientData/>
  </xdr:twoCellAnchor>
  <xdr:twoCellAnchor>
    <xdr:from>
      <xdr:col>46</xdr:col>
      <xdr:colOff>0</xdr:colOff>
      <xdr:row>163</xdr:row>
      <xdr:rowOff>0</xdr:rowOff>
    </xdr:from>
    <xdr:to>
      <xdr:col>47</xdr:col>
      <xdr:colOff>0</xdr:colOff>
      <xdr:row>164</xdr:row>
      <xdr:rowOff>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552950" y="8934450"/>
          <a:ext cx="57150" cy="57150"/>
        </a:xfrm>
        <a:prstGeom prst="rect">
          <a:avLst/>
        </a:prstGeom>
      </xdr:spPr>
    </xdr:pic>
    <xdr:clientData/>
  </xdr:twoCellAnchor>
  <xdr:twoCellAnchor>
    <xdr:from>
      <xdr:col>55</xdr:col>
      <xdr:colOff>0</xdr:colOff>
      <xdr:row>163</xdr:row>
      <xdr:rowOff>0</xdr:rowOff>
    </xdr:from>
    <xdr:to>
      <xdr:col>56</xdr:col>
      <xdr:colOff>0</xdr:colOff>
      <xdr:row>164</xdr:row>
      <xdr:rowOff>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905500" y="8934450"/>
          <a:ext cx="57150" cy="57150"/>
        </a:xfrm>
        <a:prstGeom prst="rect">
          <a:avLst/>
        </a:prstGeom>
      </xdr:spPr>
    </xdr:pic>
    <xdr:clientData/>
  </xdr:twoCellAnchor>
  <xdr:twoCellAnchor>
    <xdr:from>
      <xdr:col>46</xdr:col>
      <xdr:colOff>0</xdr:colOff>
      <xdr:row>161</xdr:row>
      <xdr:rowOff>0</xdr:rowOff>
    </xdr:from>
    <xdr:to>
      <xdr:col>56</xdr:col>
      <xdr:colOff>0</xdr:colOff>
      <xdr:row>164</xdr:row>
      <xdr:rowOff>0</xdr:rowOff>
    </xdr:to>
    <xdr:pic>
      <xdr:nvPicPr>
        <xdr:cNvPr id="76" name="Picture 75" descr="Vai al foglio Riepilogo Magazzini">
          <a:hlinkClick xmlns:r="http://schemas.openxmlformats.org/officeDocument/2006/relationships" r:id="rId24" tooltip="Vai al foglio Riepilogo Magazzini"/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552950" y="8686800"/>
          <a:ext cx="1409700" cy="304800"/>
        </a:xfrm>
        <a:prstGeom prst="rect">
          <a:avLst/>
        </a:prstGeom>
      </xdr:spPr>
    </xdr:pic>
    <xdr:clientData/>
  </xdr:twoCellAnchor>
  <xdr:twoCellAnchor editAs="oneCell">
    <xdr:from>
      <xdr:col>121</xdr:col>
      <xdr:colOff>38100</xdr:colOff>
      <xdr:row>160</xdr:row>
      <xdr:rowOff>0</xdr:rowOff>
    </xdr:from>
    <xdr:to>
      <xdr:col>135</xdr:col>
      <xdr:colOff>57094</xdr:colOff>
      <xdr:row>164</xdr:row>
      <xdr:rowOff>57135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2287250" y="8629650"/>
          <a:ext cx="1523944" cy="419085"/>
        </a:xfrm>
        <a:prstGeom prst="rect">
          <a:avLst/>
        </a:prstGeom>
      </xdr:spPr>
    </xdr:pic>
    <xdr:clientData/>
  </xdr:twoCellAnchor>
  <xdr:twoCellAnchor>
    <xdr:from>
      <xdr:col>22</xdr:col>
      <xdr:colOff>0</xdr:colOff>
      <xdr:row>17</xdr:row>
      <xdr:rowOff>0</xdr:rowOff>
    </xdr:from>
    <xdr:to>
      <xdr:col>23</xdr:col>
      <xdr:colOff>0</xdr:colOff>
      <xdr:row>20</xdr:row>
      <xdr:rowOff>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676400" y="990600"/>
          <a:ext cx="95250" cy="95250"/>
        </a:xfrm>
        <a:prstGeom prst="rect">
          <a:avLst/>
        </a:prstGeom>
      </xdr:spPr>
    </xdr:pic>
    <xdr:clientData/>
  </xdr:twoCellAnchor>
  <xdr:twoCellAnchor>
    <xdr:from>
      <xdr:col>36</xdr:col>
      <xdr:colOff>0</xdr:colOff>
      <xdr:row>17</xdr:row>
      <xdr:rowOff>0</xdr:rowOff>
    </xdr:from>
    <xdr:to>
      <xdr:col>38</xdr:col>
      <xdr:colOff>0</xdr:colOff>
      <xdr:row>20</xdr:row>
      <xdr:rowOff>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867150" y="990600"/>
          <a:ext cx="95250" cy="95250"/>
        </a:xfrm>
        <a:prstGeom prst="rect">
          <a:avLst/>
        </a:prstGeom>
      </xdr:spPr>
    </xdr:pic>
    <xdr:clientData/>
  </xdr:twoCellAnchor>
  <xdr:twoCellAnchor>
    <xdr:from>
      <xdr:col>22</xdr:col>
      <xdr:colOff>0</xdr:colOff>
      <xdr:row>36</xdr:row>
      <xdr:rowOff>0</xdr:rowOff>
    </xdr:from>
    <xdr:to>
      <xdr:col>23</xdr:col>
      <xdr:colOff>0</xdr:colOff>
      <xdr:row>38</xdr:row>
      <xdr:rowOff>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676400" y="1943100"/>
          <a:ext cx="95250" cy="95250"/>
        </a:xfrm>
        <a:prstGeom prst="rect">
          <a:avLst/>
        </a:prstGeom>
      </xdr:spPr>
    </xdr:pic>
    <xdr:clientData/>
  </xdr:twoCellAnchor>
  <xdr:twoCellAnchor>
    <xdr:from>
      <xdr:col>36</xdr:col>
      <xdr:colOff>0</xdr:colOff>
      <xdr:row>36</xdr:row>
      <xdr:rowOff>0</xdr:rowOff>
    </xdr:from>
    <xdr:to>
      <xdr:col>38</xdr:col>
      <xdr:colOff>0</xdr:colOff>
      <xdr:row>38</xdr:row>
      <xdr:rowOff>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867150" y="19431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20</xdr:row>
      <xdr:rowOff>114300</xdr:rowOff>
    </xdr:from>
    <xdr:to>
      <xdr:col>26</xdr:col>
      <xdr:colOff>209535</xdr:colOff>
      <xdr:row>27</xdr:row>
      <xdr:rowOff>38085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828800" y="1200150"/>
          <a:ext cx="419085" cy="419085"/>
        </a:xfrm>
        <a:prstGeom prst="rect">
          <a:avLst/>
        </a:prstGeom>
      </xdr:spPr>
    </xdr:pic>
    <xdr:clientData/>
  </xdr:twoCellAnchor>
  <xdr:twoCellAnchor>
    <xdr:from>
      <xdr:col>42</xdr:col>
      <xdr:colOff>0</xdr:colOff>
      <xdr:row>17</xdr:row>
      <xdr:rowOff>0</xdr:rowOff>
    </xdr:from>
    <xdr:to>
      <xdr:col>43</xdr:col>
      <xdr:colOff>0</xdr:colOff>
      <xdr:row>20</xdr:row>
      <xdr:rowOff>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067175" y="990600"/>
          <a:ext cx="95250" cy="95250"/>
        </a:xfrm>
        <a:prstGeom prst="rect">
          <a:avLst/>
        </a:prstGeom>
      </xdr:spPr>
    </xdr:pic>
    <xdr:clientData/>
  </xdr:twoCellAnchor>
  <xdr:twoCellAnchor>
    <xdr:from>
      <xdr:col>59</xdr:col>
      <xdr:colOff>0</xdr:colOff>
      <xdr:row>17</xdr:row>
      <xdr:rowOff>0</xdr:rowOff>
    </xdr:from>
    <xdr:to>
      <xdr:col>64</xdr:col>
      <xdr:colOff>0</xdr:colOff>
      <xdr:row>20</xdr:row>
      <xdr:rowOff>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6257925" y="990600"/>
          <a:ext cx="95250" cy="95250"/>
        </a:xfrm>
        <a:prstGeom prst="rect">
          <a:avLst/>
        </a:prstGeom>
      </xdr:spPr>
    </xdr:pic>
    <xdr:clientData/>
  </xdr:twoCellAnchor>
  <xdr:twoCellAnchor>
    <xdr:from>
      <xdr:col>42</xdr:col>
      <xdr:colOff>0</xdr:colOff>
      <xdr:row>36</xdr:row>
      <xdr:rowOff>0</xdr:rowOff>
    </xdr:from>
    <xdr:to>
      <xdr:col>43</xdr:col>
      <xdr:colOff>0</xdr:colOff>
      <xdr:row>38</xdr:row>
      <xdr:rowOff>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067175" y="1943100"/>
          <a:ext cx="95250" cy="95250"/>
        </a:xfrm>
        <a:prstGeom prst="rect">
          <a:avLst/>
        </a:prstGeom>
      </xdr:spPr>
    </xdr:pic>
    <xdr:clientData/>
  </xdr:twoCellAnchor>
  <xdr:twoCellAnchor>
    <xdr:from>
      <xdr:col>59</xdr:col>
      <xdr:colOff>0</xdr:colOff>
      <xdr:row>36</xdr:row>
      <xdr:rowOff>0</xdr:rowOff>
    </xdr:from>
    <xdr:to>
      <xdr:col>64</xdr:col>
      <xdr:colOff>0</xdr:colOff>
      <xdr:row>38</xdr:row>
      <xdr:rowOff>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257925" y="19431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43</xdr:col>
      <xdr:colOff>57150</xdr:colOff>
      <xdr:row>20</xdr:row>
      <xdr:rowOff>114300</xdr:rowOff>
    </xdr:from>
    <xdr:to>
      <xdr:col>47</xdr:col>
      <xdr:colOff>28560</xdr:colOff>
      <xdr:row>27</xdr:row>
      <xdr:rowOff>38085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219575" y="1200150"/>
          <a:ext cx="419085" cy="419085"/>
        </a:xfrm>
        <a:prstGeom prst="rect">
          <a:avLst/>
        </a:prstGeom>
      </xdr:spPr>
    </xdr:pic>
    <xdr:clientData/>
  </xdr:twoCellAnchor>
  <xdr:twoCellAnchor>
    <xdr:from>
      <xdr:col>66</xdr:col>
      <xdr:colOff>0</xdr:colOff>
      <xdr:row>17</xdr:row>
      <xdr:rowOff>0</xdr:rowOff>
    </xdr:from>
    <xdr:to>
      <xdr:col>67</xdr:col>
      <xdr:colOff>0</xdr:colOff>
      <xdr:row>20</xdr:row>
      <xdr:rowOff>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6457950" y="990600"/>
          <a:ext cx="95250" cy="95250"/>
        </a:xfrm>
        <a:prstGeom prst="rect">
          <a:avLst/>
        </a:prstGeom>
      </xdr:spPr>
    </xdr:pic>
    <xdr:clientData/>
  </xdr:twoCellAnchor>
  <xdr:twoCellAnchor>
    <xdr:from>
      <xdr:col>81</xdr:col>
      <xdr:colOff>0</xdr:colOff>
      <xdr:row>17</xdr:row>
      <xdr:rowOff>0</xdr:rowOff>
    </xdr:from>
    <xdr:to>
      <xdr:col>84</xdr:col>
      <xdr:colOff>0</xdr:colOff>
      <xdr:row>20</xdr:row>
      <xdr:rowOff>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8648700" y="990600"/>
          <a:ext cx="95250" cy="95250"/>
        </a:xfrm>
        <a:prstGeom prst="rect">
          <a:avLst/>
        </a:prstGeom>
      </xdr:spPr>
    </xdr:pic>
    <xdr:clientData/>
  </xdr:twoCellAnchor>
  <xdr:twoCellAnchor>
    <xdr:from>
      <xdr:col>66</xdr:col>
      <xdr:colOff>0</xdr:colOff>
      <xdr:row>36</xdr:row>
      <xdr:rowOff>0</xdr:rowOff>
    </xdr:from>
    <xdr:to>
      <xdr:col>67</xdr:col>
      <xdr:colOff>0</xdr:colOff>
      <xdr:row>38</xdr:row>
      <xdr:rowOff>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6457950" y="1943100"/>
          <a:ext cx="95250" cy="95250"/>
        </a:xfrm>
        <a:prstGeom prst="rect">
          <a:avLst/>
        </a:prstGeom>
      </xdr:spPr>
    </xdr:pic>
    <xdr:clientData/>
  </xdr:twoCellAnchor>
  <xdr:twoCellAnchor>
    <xdr:from>
      <xdr:col>81</xdr:col>
      <xdr:colOff>0</xdr:colOff>
      <xdr:row>36</xdr:row>
      <xdr:rowOff>0</xdr:rowOff>
    </xdr:from>
    <xdr:to>
      <xdr:col>84</xdr:col>
      <xdr:colOff>0</xdr:colOff>
      <xdr:row>38</xdr:row>
      <xdr:rowOff>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8648700" y="19431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67</xdr:col>
      <xdr:colOff>57150</xdr:colOff>
      <xdr:row>20</xdr:row>
      <xdr:rowOff>114300</xdr:rowOff>
    </xdr:from>
    <xdr:to>
      <xdr:col>67</xdr:col>
      <xdr:colOff>476235</xdr:colOff>
      <xdr:row>27</xdr:row>
      <xdr:rowOff>38085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6610350" y="1200150"/>
          <a:ext cx="419085" cy="419085"/>
        </a:xfrm>
        <a:prstGeom prst="rect">
          <a:avLst/>
        </a:prstGeom>
      </xdr:spPr>
    </xdr:pic>
    <xdr:clientData/>
  </xdr:twoCellAnchor>
  <xdr:twoCellAnchor>
    <xdr:from>
      <xdr:col>88</xdr:col>
      <xdr:colOff>0</xdr:colOff>
      <xdr:row>17</xdr:row>
      <xdr:rowOff>0</xdr:rowOff>
    </xdr:from>
    <xdr:to>
      <xdr:col>90</xdr:col>
      <xdr:colOff>0</xdr:colOff>
      <xdr:row>20</xdr:row>
      <xdr:rowOff>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848725" y="990600"/>
          <a:ext cx="95250" cy="95250"/>
        </a:xfrm>
        <a:prstGeom prst="rect">
          <a:avLst/>
        </a:prstGeom>
      </xdr:spPr>
    </xdr:pic>
    <xdr:clientData/>
  </xdr:twoCellAnchor>
  <xdr:twoCellAnchor>
    <xdr:from>
      <xdr:col>106</xdr:col>
      <xdr:colOff>0</xdr:colOff>
      <xdr:row>17</xdr:row>
      <xdr:rowOff>0</xdr:rowOff>
    </xdr:from>
    <xdr:to>
      <xdr:col>109</xdr:col>
      <xdr:colOff>0</xdr:colOff>
      <xdr:row>20</xdr:row>
      <xdr:rowOff>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1039475" y="990600"/>
          <a:ext cx="95250" cy="95250"/>
        </a:xfrm>
        <a:prstGeom prst="rect">
          <a:avLst/>
        </a:prstGeom>
      </xdr:spPr>
    </xdr:pic>
    <xdr:clientData/>
  </xdr:twoCellAnchor>
  <xdr:twoCellAnchor>
    <xdr:from>
      <xdr:col>88</xdr:col>
      <xdr:colOff>0</xdr:colOff>
      <xdr:row>36</xdr:row>
      <xdr:rowOff>0</xdr:rowOff>
    </xdr:from>
    <xdr:to>
      <xdr:col>90</xdr:col>
      <xdr:colOff>0</xdr:colOff>
      <xdr:row>38</xdr:row>
      <xdr:rowOff>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8848725" y="1943100"/>
          <a:ext cx="95250" cy="95250"/>
        </a:xfrm>
        <a:prstGeom prst="rect">
          <a:avLst/>
        </a:prstGeom>
      </xdr:spPr>
    </xdr:pic>
    <xdr:clientData/>
  </xdr:twoCellAnchor>
  <xdr:twoCellAnchor>
    <xdr:from>
      <xdr:col>106</xdr:col>
      <xdr:colOff>0</xdr:colOff>
      <xdr:row>36</xdr:row>
      <xdr:rowOff>0</xdr:rowOff>
    </xdr:from>
    <xdr:to>
      <xdr:col>109</xdr:col>
      <xdr:colOff>0</xdr:colOff>
      <xdr:row>38</xdr:row>
      <xdr:rowOff>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1039475" y="19431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90</xdr:col>
      <xdr:colOff>57150</xdr:colOff>
      <xdr:row>20</xdr:row>
      <xdr:rowOff>114300</xdr:rowOff>
    </xdr:from>
    <xdr:to>
      <xdr:col>91</xdr:col>
      <xdr:colOff>19035</xdr:colOff>
      <xdr:row>27</xdr:row>
      <xdr:rowOff>38085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9001125" y="1200150"/>
          <a:ext cx="419085" cy="419085"/>
        </a:xfrm>
        <a:prstGeom prst="rect">
          <a:avLst/>
        </a:prstGeom>
      </xdr:spPr>
    </xdr:pic>
    <xdr:clientData/>
  </xdr:twoCellAnchor>
  <xdr:twoCellAnchor>
    <xdr:from>
      <xdr:col>111</xdr:col>
      <xdr:colOff>0</xdr:colOff>
      <xdr:row>17</xdr:row>
      <xdr:rowOff>0</xdr:rowOff>
    </xdr:from>
    <xdr:to>
      <xdr:col>113</xdr:col>
      <xdr:colOff>0</xdr:colOff>
      <xdr:row>20</xdr:row>
      <xdr:rowOff>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1239500" y="990600"/>
          <a:ext cx="95250" cy="95250"/>
        </a:xfrm>
        <a:prstGeom prst="rect">
          <a:avLst/>
        </a:prstGeom>
      </xdr:spPr>
    </xdr:pic>
    <xdr:clientData/>
  </xdr:twoCellAnchor>
  <xdr:twoCellAnchor>
    <xdr:from>
      <xdr:col>130</xdr:col>
      <xdr:colOff>0</xdr:colOff>
      <xdr:row>17</xdr:row>
      <xdr:rowOff>0</xdr:rowOff>
    </xdr:from>
    <xdr:to>
      <xdr:col>132</xdr:col>
      <xdr:colOff>0</xdr:colOff>
      <xdr:row>20</xdr:row>
      <xdr:rowOff>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3430250" y="990600"/>
          <a:ext cx="95250" cy="95250"/>
        </a:xfrm>
        <a:prstGeom prst="rect">
          <a:avLst/>
        </a:prstGeom>
      </xdr:spPr>
    </xdr:pic>
    <xdr:clientData/>
  </xdr:twoCellAnchor>
  <xdr:twoCellAnchor>
    <xdr:from>
      <xdr:col>111</xdr:col>
      <xdr:colOff>0</xdr:colOff>
      <xdr:row>36</xdr:row>
      <xdr:rowOff>0</xdr:rowOff>
    </xdr:from>
    <xdr:to>
      <xdr:col>113</xdr:col>
      <xdr:colOff>0</xdr:colOff>
      <xdr:row>38</xdr:row>
      <xdr:rowOff>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1239500" y="1943100"/>
          <a:ext cx="95250" cy="95250"/>
        </a:xfrm>
        <a:prstGeom prst="rect">
          <a:avLst/>
        </a:prstGeom>
      </xdr:spPr>
    </xdr:pic>
    <xdr:clientData/>
  </xdr:twoCellAnchor>
  <xdr:twoCellAnchor>
    <xdr:from>
      <xdr:col>130</xdr:col>
      <xdr:colOff>0</xdr:colOff>
      <xdr:row>36</xdr:row>
      <xdr:rowOff>0</xdr:rowOff>
    </xdr:from>
    <xdr:to>
      <xdr:col>132</xdr:col>
      <xdr:colOff>0</xdr:colOff>
      <xdr:row>38</xdr:row>
      <xdr:rowOff>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3430250" y="19431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113</xdr:col>
      <xdr:colOff>57150</xdr:colOff>
      <xdr:row>20</xdr:row>
      <xdr:rowOff>114300</xdr:rowOff>
    </xdr:from>
    <xdr:to>
      <xdr:col>115</xdr:col>
      <xdr:colOff>38085</xdr:colOff>
      <xdr:row>27</xdr:row>
      <xdr:rowOff>38085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1391900" y="1200150"/>
          <a:ext cx="419085" cy="419085"/>
        </a:xfrm>
        <a:prstGeom prst="rect">
          <a:avLst/>
        </a:prstGeom>
      </xdr:spPr>
    </xdr:pic>
    <xdr:clientData/>
  </xdr:twoCellAnchor>
  <xdr:twoCellAnchor>
    <xdr:from>
      <xdr:col>22</xdr:col>
      <xdr:colOff>0</xdr:colOff>
      <xdr:row>39</xdr:row>
      <xdr:rowOff>0</xdr:rowOff>
    </xdr:from>
    <xdr:to>
      <xdr:col>23</xdr:col>
      <xdr:colOff>0</xdr:colOff>
      <xdr:row>42</xdr:row>
      <xdr:rowOff>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676400" y="2133600"/>
          <a:ext cx="95250" cy="95250"/>
        </a:xfrm>
        <a:prstGeom prst="rect">
          <a:avLst/>
        </a:prstGeom>
      </xdr:spPr>
    </xdr:pic>
    <xdr:clientData/>
  </xdr:twoCellAnchor>
  <xdr:twoCellAnchor>
    <xdr:from>
      <xdr:col>130</xdr:col>
      <xdr:colOff>0</xdr:colOff>
      <xdr:row>39</xdr:row>
      <xdr:rowOff>0</xdr:rowOff>
    </xdr:from>
    <xdr:to>
      <xdr:col>132</xdr:col>
      <xdr:colOff>0</xdr:colOff>
      <xdr:row>42</xdr:row>
      <xdr:rowOff>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3430250" y="2133600"/>
          <a:ext cx="95250" cy="95250"/>
        </a:xfrm>
        <a:prstGeom prst="rect">
          <a:avLst/>
        </a:prstGeom>
      </xdr:spPr>
    </xdr:pic>
    <xdr:clientData/>
  </xdr:twoCellAnchor>
  <xdr:twoCellAnchor>
    <xdr:from>
      <xdr:col>22</xdr:col>
      <xdr:colOff>0</xdr:colOff>
      <xdr:row>51</xdr:row>
      <xdr:rowOff>0</xdr:rowOff>
    </xdr:from>
    <xdr:to>
      <xdr:col>23</xdr:col>
      <xdr:colOff>0</xdr:colOff>
      <xdr:row>55</xdr:row>
      <xdr:rowOff>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676400" y="2667000"/>
          <a:ext cx="95250" cy="95250"/>
        </a:xfrm>
        <a:prstGeom prst="rect">
          <a:avLst/>
        </a:prstGeom>
      </xdr:spPr>
    </xdr:pic>
    <xdr:clientData/>
  </xdr:twoCellAnchor>
  <xdr:twoCellAnchor>
    <xdr:from>
      <xdr:col>130</xdr:col>
      <xdr:colOff>0</xdr:colOff>
      <xdr:row>51</xdr:row>
      <xdr:rowOff>0</xdr:rowOff>
    </xdr:from>
    <xdr:to>
      <xdr:col>132</xdr:col>
      <xdr:colOff>0</xdr:colOff>
      <xdr:row>55</xdr:row>
      <xdr:rowOff>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3430250" y="26670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25</xdr:col>
      <xdr:colOff>19050</xdr:colOff>
      <xdr:row>43</xdr:row>
      <xdr:rowOff>28575</xdr:rowOff>
    </xdr:from>
    <xdr:to>
      <xdr:col>26</xdr:col>
      <xdr:colOff>152387</xdr:colOff>
      <xdr:row>49</xdr:row>
      <xdr:rowOff>9512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847850" y="2276475"/>
          <a:ext cx="342887" cy="342887"/>
        </a:xfrm>
        <a:prstGeom prst="rect">
          <a:avLst/>
        </a:prstGeom>
      </xdr:spPr>
    </xdr:pic>
    <xdr:clientData/>
  </xdr:twoCellAnchor>
  <xdr:twoCellAnchor editAs="oneCell">
    <xdr:from>
      <xdr:col>43</xdr:col>
      <xdr:colOff>57150</xdr:colOff>
      <xdr:row>43</xdr:row>
      <xdr:rowOff>28575</xdr:rowOff>
    </xdr:from>
    <xdr:to>
      <xdr:col>46</xdr:col>
      <xdr:colOff>9512</xdr:colOff>
      <xdr:row>49</xdr:row>
      <xdr:rowOff>9512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219575" y="2276475"/>
          <a:ext cx="342887" cy="342887"/>
        </a:xfrm>
        <a:prstGeom prst="rect">
          <a:avLst/>
        </a:prstGeom>
      </xdr:spPr>
    </xdr:pic>
    <xdr:clientData/>
  </xdr:twoCellAnchor>
  <xdr:twoCellAnchor editAs="oneCell">
    <xdr:from>
      <xdr:col>67</xdr:col>
      <xdr:colOff>38100</xdr:colOff>
      <xdr:row>43</xdr:row>
      <xdr:rowOff>28575</xdr:rowOff>
    </xdr:from>
    <xdr:to>
      <xdr:col>67</xdr:col>
      <xdr:colOff>380987</xdr:colOff>
      <xdr:row>49</xdr:row>
      <xdr:rowOff>9512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6591300" y="2276475"/>
          <a:ext cx="342887" cy="342887"/>
        </a:xfrm>
        <a:prstGeom prst="rect">
          <a:avLst/>
        </a:prstGeom>
      </xdr:spPr>
    </xdr:pic>
    <xdr:clientData/>
  </xdr:twoCellAnchor>
  <xdr:twoCellAnchor editAs="oneCell">
    <xdr:from>
      <xdr:col>90</xdr:col>
      <xdr:colOff>19050</xdr:colOff>
      <xdr:row>43</xdr:row>
      <xdr:rowOff>28575</xdr:rowOff>
    </xdr:from>
    <xdr:to>
      <xdr:col>90</xdr:col>
      <xdr:colOff>361937</xdr:colOff>
      <xdr:row>49</xdr:row>
      <xdr:rowOff>9512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8963025" y="2276475"/>
          <a:ext cx="342887" cy="342887"/>
        </a:xfrm>
        <a:prstGeom prst="rect">
          <a:avLst/>
        </a:prstGeom>
      </xdr:spPr>
    </xdr:pic>
    <xdr:clientData/>
  </xdr:twoCellAnchor>
  <xdr:twoCellAnchor editAs="oneCell">
    <xdr:from>
      <xdr:col>113</xdr:col>
      <xdr:colOff>0</xdr:colOff>
      <xdr:row>43</xdr:row>
      <xdr:rowOff>28575</xdr:rowOff>
    </xdr:from>
    <xdr:to>
      <xdr:col>114</xdr:col>
      <xdr:colOff>228587</xdr:colOff>
      <xdr:row>49</xdr:row>
      <xdr:rowOff>9512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1334750" y="2276475"/>
          <a:ext cx="342887" cy="342887"/>
        </a:xfrm>
        <a:prstGeom prst="rect">
          <a:avLst/>
        </a:prstGeom>
      </xdr:spPr>
    </xdr:pic>
    <xdr:clientData/>
  </xdr:twoCellAnchor>
  <xdr:twoCellAnchor>
    <xdr:from>
      <xdr:col>133</xdr:col>
      <xdr:colOff>0</xdr:colOff>
      <xdr:row>17</xdr:row>
      <xdr:rowOff>0</xdr:rowOff>
    </xdr:from>
    <xdr:to>
      <xdr:col>134</xdr:col>
      <xdr:colOff>0</xdr:colOff>
      <xdr:row>20</xdr:row>
      <xdr:rowOff>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3639800" y="990600"/>
          <a:ext cx="95250" cy="95250"/>
        </a:xfrm>
        <a:prstGeom prst="rect">
          <a:avLst/>
        </a:prstGeom>
      </xdr:spPr>
    </xdr:pic>
    <xdr:clientData/>
  </xdr:twoCellAnchor>
  <xdr:twoCellAnchor>
    <xdr:from>
      <xdr:col>155</xdr:col>
      <xdr:colOff>0</xdr:colOff>
      <xdr:row>17</xdr:row>
      <xdr:rowOff>0</xdr:rowOff>
    </xdr:from>
    <xdr:to>
      <xdr:col>159</xdr:col>
      <xdr:colOff>0</xdr:colOff>
      <xdr:row>20</xdr:row>
      <xdr:rowOff>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5792450" y="990600"/>
          <a:ext cx="95250" cy="95250"/>
        </a:xfrm>
        <a:prstGeom prst="rect">
          <a:avLst/>
        </a:prstGeom>
      </xdr:spPr>
    </xdr:pic>
    <xdr:clientData/>
  </xdr:twoCellAnchor>
  <xdr:twoCellAnchor>
    <xdr:from>
      <xdr:col>133</xdr:col>
      <xdr:colOff>0</xdr:colOff>
      <xdr:row>51</xdr:row>
      <xdr:rowOff>0</xdr:rowOff>
    </xdr:from>
    <xdr:to>
      <xdr:col>134</xdr:col>
      <xdr:colOff>0</xdr:colOff>
      <xdr:row>55</xdr:row>
      <xdr:rowOff>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3639800" y="2667000"/>
          <a:ext cx="95250" cy="95250"/>
        </a:xfrm>
        <a:prstGeom prst="rect">
          <a:avLst/>
        </a:prstGeom>
      </xdr:spPr>
    </xdr:pic>
    <xdr:clientData/>
  </xdr:twoCellAnchor>
  <xdr:twoCellAnchor>
    <xdr:from>
      <xdr:col>155</xdr:col>
      <xdr:colOff>0</xdr:colOff>
      <xdr:row>51</xdr:row>
      <xdr:rowOff>0</xdr:rowOff>
    </xdr:from>
    <xdr:to>
      <xdr:col>159</xdr:col>
      <xdr:colOff>0</xdr:colOff>
      <xdr:row>55</xdr:row>
      <xdr:rowOff>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5792450" y="26670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135</xdr:col>
      <xdr:colOff>0</xdr:colOff>
      <xdr:row>19</xdr:row>
      <xdr:rowOff>28575</xdr:rowOff>
    </xdr:from>
    <xdr:to>
      <xdr:col>136</xdr:col>
      <xdr:colOff>114294</xdr:colOff>
      <xdr:row>20</xdr:row>
      <xdr:rowOff>161919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3754100" y="1076325"/>
          <a:ext cx="171444" cy="171444"/>
        </a:xfrm>
        <a:prstGeom prst="rect">
          <a:avLst/>
        </a:prstGeom>
      </xdr:spPr>
    </xdr:pic>
    <xdr:clientData/>
  </xdr:twoCellAnchor>
  <xdr:twoCellAnchor>
    <xdr:from>
      <xdr:col>22</xdr:col>
      <xdr:colOff>0</xdr:colOff>
      <xdr:row>57</xdr:row>
      <xdr:rowOff>0</xdr:rowOff>
    </xdr:from>
    <xdr:to>
      <xdr:col>23</xdr:col>
      <xdr:colOff>0</xdr:colOff>
      <xdr:row>61</xdr:row>
      <xdr:rowOff>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676400" y="2857500"/>
          <a:ext cx="95250" cy="95250"/>
        </a:xfrm>
        <a:prstGeom prst="rect">
          <a:avLst/>
        </a:prstGeom>
      </xdr:spPr>
    </xdr:pic>
    <xdr:clientData/>
  </xdr:twoCellAnchor>
  <xdr:twoCellAnchor>
    <xdr:from>
      <xdr:col>53</xdr:col>
      <xdr:colOff>0</xdr:colOff>
      <xdr:row>57</xdr:row>
      <xdr:rowOff>0</xdr:rowOff>
    </xdr:from>
    <xdr:to>
      <xdr:col>54</xdr:col>
      <xdr:colOff>0</xdr:colOff>
      <xdr:row>61</xdr:row>
      <xdr:rowOff>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5772150" y="2857500"/>
          <a:ext cx="95250" cy="95250"/>
        </a:xfrm>
        <a:prstGeom prst="rect">
          <a:avLst/>
        </a:prstGeom>
      </xdr:spPr>
    </xdr:pic>
    <xdr:clientData/>
  </xdr:twoCellAnchor>
  <xdr:twoCellAnchor>
    <xdr:from>
      <xdr:col>22</xdr:col>
      <xdr:colOff>0</xdr:colOff>
      <xdr:row>93</xdr:row>
      <xdr:rowOff>0</xdr:rowOff>
    </xdr:from>
    <xdr:to>
      <xdr:col>23</xdr:col>
      <xdr:colOff>0</xdr:colOff>
      <xdr:row>94</xdr:row>
      <xdr:rowOff>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676400" y="4648200"/>
          <a:ext cx="95250" cy="95250"/>
        </a:xfrm>
        <a:prstGeom prst="rect">
          <a:avLst/>
        </a:prstGeom>
      </xdr:spPr>
    </xdr:pic>
    <xdr:clientData/>
  </xdr:twoCellAnchor>
  <xdr:twoCellAnchor>
    <xdr:from>
      <xdr:col>53</xdr:col>
      <xdr:colOff>0</xdr:colOff>
      <xdr:row>93</xdr:row>
      <xdr:rowOff>0</xdr:rowOff>
    </xdr:from>
    <xdr:to>
      <xdr:col>54</xdr:col>
      <xdr:colOff>0</xdr:colOff>
      <xdr:row>94</xdr:row>
      <xdr:rowOff>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772150" y="46482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24</xdr:col>
      <xdr:colOff>19050</xdr:colOff>
      <xdr:row>62</xdr:row>
      <xdr:rowOff>0</xdr:rowOff>
    </xdr:from>
    <xdr:to>
      <xdr:col>25</xdr:col>
      <xdr:colOff>152394</xdr:colOff>
      <xdr:row>64</xdr:row>
      <xdr:rowOff>28569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809750" y="2971800"/>
          <a:ext cx="171444" cy="171444"/>
        </a:xfrm>
        <a:prstGeom prst="rect">
          <a:avLst/>
        </a:prstGeom>
      </xdr:spPr>
    </xdr:pic>
    <xdr:clientData/>
  </xdr:twoCellAnchor>
  <xdr:twoCellAnchor>
    <xdr:from>
      <xdr:col>57</xdr:col>
      <xdr:colOff>0</xdr:colOff>
      <xdr:row>57</xdr:row>
      <xdr:rowOff>0</xdr:rowOff>
    </xdr:from>
    <xdr:to>
      <xdr:col>58</xdr:col>
      <xdr:colOff>0</xdr:colOff>
      <xdr:row>61</xdr:row>
      <xdr:rowOff>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5972175" y="2857500"/>
          <a:ext cx="95250" cy="95250"/>
        </a:xfrm>
        <a:prstGeom prst="rect">
          <a:avLst/>
        </a:prstGeom>
      </xdr:spPr>
    </xdr:pic>
    <xdr:clientData/>
  </xdr:twoCellAnchor>
  <xdr:twoCellAnchor>
    <xdr:from>
      <xdr:col>93</xdr:col>
      <xdr:colOff>0</xdr:colOff>
      <xdr:row>57</xdr:row>
      <xdr:rowOff>0</xdr:rowOff>
    </xdr:from>
    <xdr:to>
      <xdr:col>95</xdr:col>
      <xdr:colOff>0</xdr:colOff>
      <xdr:row>61</xdr:row>
      <xdr:rowOff>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9601200" y="2857500"/>
          <a:ext cx="95250" cy="95250"/>
        </a:xfrm>
        <a:prstGeom prst="rect">
          <a:avLst/>
        </a:prstGeom>
      </xdr:spPr>
    </xdr:pic>
    <xdr:clientData/>
  </xdr:twoCellAnchor>
  <xdr:twoCellAnchor>
    <xdr:from>
      <xdr:col>57</xdr:col>
      <xdr:colOff>0</xdr:colOff>
      <xdr:row>93</xdr:row>
      <xdr:rowOff>0</xdr:rowOff>
    </xdr:from>
    <xdr:to>
      <xdr:col>58</xdr:col>
      <xdr:colOff>0</xdr:colOff>
      <xdr:row>94</xdr:row>
      <xdr:rowOff>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5972175" y="4648200"/>
          <a:ext cx="95250" cy="95250"/>
        </a:xfrm>
        <a:prstGeom prst="rect">
          <a:avLst/>
        </a:prstGeom>
      </xdr:spPr>
    </xdr:pic>
    <xdr:clientData/>
  </xdr:twoCellAnchor>
  <xdr:twoCellAnchor>
    <xdr:from>
      <xdr:col>93</xdr:col>
      <xdr:colOff>0</xdr:colOff>
      <xdr:row>93</xdr:row>
      <xdr:rowOff>0</xdr:rowOff>
    </xdr:from>
    <xdr:to>
      <xdr:col>95</xdr:col>
      <xdr:colOff>0</xdr:colOff>
      <xdr:row>94</xdr:row>
      <xdr:rowOff>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9601200" y="46482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58</xdr:col>
      <xdr:colOff>38100</xdr:colOff>
      <xdr:row>62</xdr:row>
      <xdr:rowOff>0</xdr:rowOff>
    </xdr:from>
    <xdr:to>
      <xdr:col>59</xdr:col>
      <xdr:colOff>19044</xdr:colOff>
      <xdr:row>64</xdr:row>
      <xdr:rowOff>28569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6105525" y="2971800"/>
          <a:ext cx="171444" cy="171444"/>
        </a:xfrm>
        <a:prstGeom prst="rect">
          <a:avLst/>
        </a:prstGeom>
      </xdr:spPr>
    </xdr:pic>
    <xdr:clientData/>
  </xdr:twoCellAnchor>
  <xdr:twoCellAnchor>
    <xdr:from>
      <xdr:col>96</xdr:col>
      <xdr:colOff>0</xdr:colOff>
      <xdr:row>57</xdr:row>
      <xdr:rowOff>0</xdr:rowOff>
    </xdr:from>
    <xdr:to>
      <xdr:col>97</xdr:col>
      <xdr:colOff>0</xdr:colOff>
      <xdr:row>61</xdr:row>
      <xdr:rowOff>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9801225" y="2857500"/>
          <a:ext cx="95250" cy="95250"/>
        </a:xfrm>
        <a:prstGeom prst="rect">
          <a:avLst/>
        </a:prstGeom>
      </xdr:spPr>
    </xdr:pic>
    <xdr:clientData/>
  </xdr:twoCellAnchor>
  <xdr:twoCellAnchor>
    <xdr:from>
      <xdr:col>130</xdr:col>
      <xdr:colOff>0</xdr:colOff>
      <xdr:row>57</xdr:row>
      <xdr:rowOff>0</xdr:rowOff>
    </xdr:from>
    <xdr:to>
      <xdr:col>132</xdr:col>
      <xdr:colOff>0</xdr:colOff>
      <xdr:row>61</xdr:row>
      <xdr:rowOff>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3430250" y="2857500"/>
          <a:ext cx="95250" cy="95250"/>
        </a:xfrm>
        <a:prstGeom prst="rect">
          <a:avLst/>
        </a:prstGeom>
      </xdr:spPr>
    </xdr:pic>
    <xdr:clientData/>
  </xdr:twoCellAnchor>
  <xdr:twoCellAnchor>
    <xdr:from>
      <xdr:col>96</xdr:col>
      <xdr:colOff>0</xdr:colOff>
      <xdr:row>93</xdr:row>
      <xdr:rowOff>0</xdr:rowOff>
    </xdr:from>
    <xdr:to>
      <xdr:col>97</xdr:col>
      <xdr:colOff>0</xdr:colOff>
      <xdr:row>94</xdr:row>
      <xdr:rowOff>0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801225" y="4648200"/>
          <a:ext cx="95250" cy="95250"/>
        </a:xfrm>
        <a:prstGeom prst="rect">
          <a:avLst/>
        </a:prstGeom>
      </xdr:spPr>
    </xdr:pic>
    <xdr:clientData/>
  </xdr:twoCellAnchor>
  <xdr:twoCellAnchor>
    <xdr:from>
      <xdr:col>130</xdr:col>
      <xdr:colOff>0</xdr:colOff>
      <xdr:row>93</xdr:row>
      <xdr:rowOff>0</xdr:rowOff>
    </xdr:from>
    <xdr:to>
      <xdr:col>132</xdr:col>
      <xdr:colOff>0</xdr:colOff>
      <xdr:row>94</xdr:row>
      <xdr:rowOff>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3430250" y="46482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97</xdr:col>
      <xdr:colOff>38100</xdr:colOff>
      <xdr:row>62</xdr:row>
      <xdr:rowOff>0</xdr:rowOff>
    </xdr:from>
    <xdr:to>
      <xdr:col>98</xdr:col>
      <xdr:colOff>28569</xdr:colOff>
      <xdr:row>64</xdr:row>
      <xdr:rowOff>28569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9934575" y="2971800"/>
          <a:ext cx="171444" cy="171444"/>
        </a:xfrm>
        <a:prstGeom prst="rect">
          <a:avLst/>
        </a:prstGeom>
      </xdr:spPr>
    </xdr:pic>
    <xdr:clientData/>
  </xdr:twoCellAnchor>
  <xdr:twoCellAnchor>
    <xdr:from>
      <xdr:col>22</xdr:col>
      <xdr:colOff>0</xdr:colOff>
      <xdr:row>97</xdr:row>
      <xdr:rowOff>0</xdr:rowOff>
    </xdr:from>
    <xdr:to>
      <xdr:col>23</xdr:col>
      <xdr:colOff>0</xdr:colOff>
      <xdr:row>101</xdr:row>
      <xdr:rowOff>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676400" y="4838700"/>
          <a:ext cx="95250" cy="95250"/>
        </a:xfrm>
        <a:prstGeom prst="rect">
          <a:avLst/>
        </a:prstGeom>
      </xdr:spPr>
    </xdr:pic>
    <xdr:clientData/>
  </xdr:twoCellAnchor>
  <xdr:twoCellAnchor>
    <xdr:from>
      <xdr:col>53</xdr:col>
      <xdr:colOff>0</xdr:colOff>
      <xdr:row>97</xdr:row>
      <xdr:rowOff>0</xdr:rowOff>
    </xdr:from>
    <xdr:to>
      <xdr:col>54</xdr:col>
      <xdr:colOff>0</xdr:colOff>
      <xdr:row>101</xdr:row>
      <xdr:rowOff>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5772150" y="4838700"/>
          <a:ext cx="95250" cy="95250"/>
        </a:xfrm>
        <a:prstGeom prst="rect">
          <a:avLst/>
        </a:prstGeom>
      </xdr:spPr>
    </xdr:pic>
    <xdr:clientData/>
  </xdr:twoCellAnchor>
  <xdr:twoCellAnchor>
    <xdr:from>
      <xdr:col>22</xdr:col>
      <xdr:colOff>0</xdr:colOff>
      <xdr:row>134</xdr:row>
      <xdr:rowOff>0</xdr:rowOff>
    </xdr:from>
    <xdr:to>
      <xdr:col>23</xdr:col>
      <xdr:colOff>0</xdr:colOff>
      <xdr:row>136</xdr:row>
      <xdr:rowOff>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676400" y="6629400"/>
          <a:ext cx="95250" cy="95250"/>
        </a:xfrm>
        <a:prstGeom prst="rect">
          <a:avLst/>
        </a:prstGeom>
      </xdr:spPr>
    </xdr:pic>
    <xdr:clientData/>
  </xdr:twoCellAnchor>
  <xdr:twoCellAnchor>
    <xdr:from>
      <xdr:col>53</xdr:col>
      <xdr:colOff>0</xdr:colOff>
      <xdr:row>134</xdr:row>
      <xdr:rowOff>0</xdr:rowOff>
    </xdr:from>
    <xdr:to>
      <xdr:col>54</xdr:col>
      <xdr:colOff>0</xdr:colOff>
      <xdr:row>136</xdr:row>
      <xdr:rowOff>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772150" y="66294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24</xdr:col>
      <xdr:colOff>19050</xdr:colOff>
      <xdr:row>101</xdr:row>
      <xdr:rowOff>19050</xdr:rowOff>
    </xdr:from>
    <xdr:to>
      <xdr:col>25</xdr:col>
      <xdr:colOff>152394</xdr:colOff>
      <xdr:row>104</xdr:row>
      <xdr:rowOff>28569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809750" y="4953000"/>
          <a:ext cx="171444" cy="171444"/>
        </a:xfrm>
        <a:prstGeom prst="rect">
          <a:avLst/>
        </a:prstGeom>
      </xdr:spPr>
    </xdr:pic>
    <xdr:clientData/>
  </xdr:twoCellAnchor>
  <xdr:twoCellAnchor>
    <xdr:from>
      <xdr:col>57</xdr:col>
      <xdr:colOff>0</xdr:colOff>
      <xdr:row>97</xdr:row>
      <xdr:rowOff>0</xdr:rowOff>
    </xdr:from>
    <xdr:to>
      <xdr:col>58</xdr:col>
      <xdr:colOff>0</xdr:colOff>
      <xdr:row>101</xdr:row>
      <xdr:rowOff>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5972175" y="4838700"/>
          <a:ext cx="95250" cy="95250"/>
        </a:xfrm>
        <a:prstGeom prst="rect">
          <a:avLst/>
        </a:prstGeom>
      </xdr:spPr>
    </xdr:pic>
    <xdr:clientData/>
  </xdr:twoCellAnchor>
  <xdr:twoCellAnchor>
    <xdr:from>
      <xdr:col>93</xdr:col>
      <xdr:colOff>0</xdr:colOff>
      <xdr:row>97</xdr:row>
      <xdr:rowOff>0</xdr:rowOff>
    </xdr:from>
    <xdr:to>
      <xdr:col>95</xdr:col>
      <xdr:colOff>0</xdr:colOff>
      <xdr:row>101</xdr:row>
      <xdr:rowOff>0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9601200" y="4838700"/>
          <a:ext cx="95250" cy="95250"/>
        </a:xfrm>
        <a:prstGeom prst="rect">
          <a:avLst/>
        </a:prstGeom>
      </xdr:spPr>
    </xdr:pic>
    <xdr:clientData/>
  </xdr:twoCellAnchor>
  <xdr:twoCellAnchor>
    <xdr:from>
      <xdr:col>57</xdr:col>
      <xdr:colOff>0</xdr:colOff>
      <xdr:row>134</xdr:row>
      <xdr:rowOff>0</xdr:rowOff>
    </xdr:from>
    <xdr:to>
      <xdr:col>58</xdr:col>
      <xdr:colOff>0</xdr:colOff>
      <xdr:row>136</xdr:row>
      <xdr:rowOff>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5972175" y="6629400"/>
          <a:ext cx="95250" cy="95250"/>
        </a:xfrm>
        <a:prstGeom prst="rect">
          <a:avLst/>
        </a:prstGeom>
      </xdr:spPr>
    </xdr:pic>
    <xdr:clientData/>
  </xdr:twoCellAnchor>
  <xdr:twoCellAnchor>
    <xdr:from>
      <xdr:col>93</xdr:col>
      <xdr:colOff>0</xdr:colOff>
      <xdr:row>134</xdr:row>
      <xdr:rowOff>0</xdr:rowOff>
    </xdr:from>
    <xdr:to>
      <xdr:col>95</xdr:col>
      <xdr:colOff>0</xdr:colOff>
      <xdr:row>136</xdr:row>
      <xdr:rowOff>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9601200" y="66294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58</xdr:col>
      <xdr:colOff>38100</xdr:colOff>
      <xdr:row>101</xdr:row>
      <xdr:rowOff>19050</xdr:rowOff>
    </xdr:from>
    <xdr:to>
      <xdr:col>59</xdr:col>
      <xdr:colOff>19044</xdr:colOff>
      <xdr:row>104</xdr:row>
      <xdr:rowOff>28569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105525" y="4953000"/>
          <a:ext cx="171444" cy="171444"/>
        </a:xfrm>
        <a:prstGeom prst="rect">
          <a:avLst/>
        </a:prstGeom>
      </xdr:spPr>
    </xdr:pic>
    <xdr:clientData/>
  </xdr:twoCellAnchor>
  <xdr:twoCellAnchor>
    <xdr:from>
      <xdr:col>96</xdr:col>
      <xdr:colOff>0</xdr:colOff>
      <xdr:row>97</xdr:row>
      <xdr:rowOff>0</xdr:rowOff>
    </xdr:from>
    <xdr:to>
      <xdr:col>97</xdr:col>
      <xdr:colOff>0</xdr:colOff>
      <xdr:row>101</xdr:row>
      <xdr:rowOff>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9801225" y="4838700"/>
          <a:ext cx="95250" cy="95250"/>
        </a:xfrm>
        <a:prstGeom prst="rect">
          <a:avLst/>
        </a:prstGeom>
      </xdr:spPr>
    </xdr:pic>
    <xdr:clientData/>
  </xdr:twoCellAnchor>
  <xdr:twoCellAnchor>
    <xdr:from>
      <xdr:col>130</xdr:col>
      <xdr:colOff>0</xdr:colOff>
      <xdr:row>97</xdr:row>
      <xdr:rowOff>0</xdr:rowOff>
    </xdr:from>
    <xdr:to>
      <xdr:col>132</xdr:col>
      <xdr:colOff>0</xdr:colOff>
      <xdr:row>101</xdr:row>
      <xdr:rowOff>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3430250" y="4838700"/>
          <a:ext cx="95250" cy="95250"/>
        </a:xfrm>
        <a:prstGeom prst="rect">
          <a:avLst/>
        </a:prstGeom>
      </xdr:spPr>
    </xdr:pic>
    <xdr:clientData/>
  </xdr:twoCellAnchor>
  <xdr:twoCellAnchor>
    <xdr:from>
      <xdr:col>96</xdr:col>
      <xdr:colOff>0</xdr:colOff>
      <xdr:row>134</xdr:row>
      <xdr:rowOff>0</xdr:rowOff>
    </xdr:from>
    <xdr:to>
      <xdr:col>97</xdr:col>
      <xdr:colOff>0</xdr:colOff>
      <xdr:row>136</xdr:row>
      <xdr:rowOff>0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801225" y="6629400"/>
          <a:ext cx="95250" cy="95250"/>
        </a:xfrm>
        <a:prstGeom prst="rect">
          <a:avLst/>
        </a:prstGeom>
      </xdr:spPr>
    </xdr:pic>
    <xdr:clientData/>
  </xdr:twoCellAnchor>
  <xdr:twoCellAnchor>
    <xdr:from>
      <xdr:col>130</xdr:col>
      <xdr:colOff>0</xdr:colOff>
      <xdr:row>134</xdr:row>
      <xdr:rowOff>0</xdr:rowOff>
    </xdr:from>
    <xdr:to>
      <xdr:col>132</xdr:col>
      <xdr:colOff>0</xdr:colOff>
      <xdr:row>136</xdr:row>
      <xdr:rowOff>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3430250" y="66294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97</xdr:col>
      <xdr:colOff>38100</xdr:colOff>
      <xdr:row>101</xdr:row>
      <xdr:rowOff>19050</xdr:rowOff>
    </xdr:from>
    <xdr:to>
      <xdr:col>98</xdr:col>
      <xdr:colOff>28569</xdr:colOff>
      <xdr:row>104</xdr:row>
      <xdr:rowOff>28569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9934575" y="4953000"/>
          <a:ext cx="171444" cy="171444"/>
        </a:xfrm>
        <a:prstGeom prst="rect">
          <a:avLst/>
        </a:prstGeom>
      </xdr:spPr>
    </xdr:pic>
    <xdr:clientData/>
  </xdr:twoCellAnchor>
  <xdr:twoCellAnchor>
    <xdr:from>
      <xdr:col>133</xdr:col>
      <xdr:colOff>0</xdr:colOff>
      <xdr:row>57</xdr:row>
      <xdr:rowOff>0</xdr:rowOff>
    </xdr:from>
    <xdr:to>
      <xdr:col>134</xdr:col>
      <xdr:colOff>0</xdr:colOff>
      <xdr:row>61</xdr:row>
      <xdr:rowOff>0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3639800" y="2857500"/>
          <a:ext cx="95250" cy="95250"/>
        </a:xfrm>
        <a:prstGeom prst="rect">
          <a:avLst/>
        </a:prstGeom>
      </xdr:spPr>
    </xdr:pic>
    <xdr:clientData/>
  </xdr:twoCellAnchor>
  <xdr:twoCellAnchor>
    <xdr:from>
      <xdr:col>155</xdr:col>
      <xdr:colOff>0</xdr:colOff>
      <xdr:row>57</xdr:row>
      <xdr:rowOff>0</xdr:rowOff>
    </xdr:from>
    <xdr:to>
      <xdr:col>159</xdr:col>
      <xdr:colOff>0</xdr:colOff>
      <xdr:row>61</xdr:row>
      <xdr:rowOff>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5792450" y="2857500"/>
          <a:ext cx="95250" cy="95250"/>
        </a:xfrm>
        <a:prstGeom prst="rect">
          <a:avLst/>
        </a:prstGeom>
      </xdr:spPr>
    </xdr:pic>
    <xdr:clientData/>
  </xdr:twoCellAnchor>
  <xdr:twoCellAnchor>
    <xdr:from>
      <xdr:col>133</xdr:col>
      <xdr:colOff>0</xdr:colOff>
      <xdr:row>93</xdr:row>
      <xdr:rowOff>0</xdr:rowOff>
    </xdr:from>
    <xdr:to>
      <xdr:col>134</xdr:col>
      <xdr:colOff>0</xdr:colOff>
      <xdr:row>94</xdr:row>
      <xdr:rowOff>0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3639800" y="4648200"/>
          <a:ext cx="95250" cy="95250"/>
        </a:xfrm>
        <a:prstGeom prst="rect">
          <a:avLst/>
        </a:prstGeom>
      </xdr:spPr>
    </xdr:pic>
    <xdr:clientData/>
  </xdr:twoCellAnchor>
  <xdr:twoCellAnchor>
    <xdr:from>
      <xdr:col>155</xdr:col>
      <xdr:colOff>0</xdr:colOff>
      <xdr:row>93</xdr:row>
      <xdr:rowOff>0</xdr:rowOff>
    </xdr:from>
    <xdr:to>
      <xdr:col>159</xdr:col>
      <xdr:colOff>0</xdr:colOff>
      <xdr:row>94</xdr:row>
      <xdr:rowOff>0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5792450" y="46482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135</xdr:col>
      <xdr:colOff>0</xdr:colOff>
      <xdr:row>61</xdr:row>
      <xdr:rowOff>0</xdr:rowOff>
    </xdr:from>
    <xdr:to>
      <xdr:col>136</xdr:col>
      <xdr:colOff>95244</xdr:colOff>
      <xdr:row>63</xdr:row>
      <xdr:rowOff>114294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3754100" y="2952750"/>
          <a:ext cx="152394" cy="152394"/>
        </a:xfrm>
        <a:prstGeom prst="rect">
          <a:avLst/>
        </a:prstGeom>
      </xdr:spPr>
    </xdr:pic>
    <xdr:clientData/>
  </xdr:twoCellAnchor>
  <xdr:twoCellAnchor>
    <xdr:from>
      <xdr:col>133</xdr:col>
      <xdr:colOff>0</xdr:colOff>
      <xdr:row>97</xdr:row>
      <xdr:rowOff>0</xdr:rowOff>
    </xdr:from>
    <xdr:to>
      <xdr:col>134</xdr:col>
      <xdr:colOff>0</xdr:colOff>
      <xdr:row>101</xdr:row>
      <xdr:rowOff>0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3639800" y="4838700"/>
          <a:ext cx="95250" cy="95250"/>
        </a:xfrm>
        <a:prstGeom prst="rect">
          <a:avLst/>
        </a:prstGeom>
      </xdr:spPr>
    </xdr:pic>
    <xdr:clientData/>
  </xdr:twoCellAnchor>
  <xdr:twoCellAnchor>
    <xdr:from>
      <xdr:col>155</xdr:col>
      <xdr:colOff>0</xdr:colOff>
      <xdr:row>97</xdr:row>
      <xdr:rowOff>0</xdr:rowOff>
    </xdr:from>
    <xdr:to>
      <xdr:col>159</xdr:col>
      <xdr:colOff>0</xdr:colOff>
      <xdr:row>101</xdr:row>
      <xdr:rowOff>0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5792450" y="4838700"/>
          <a:ext cx="95250" cy="95250"/>
        </a:xfrm>
        <a:prstGeom prst="rect">
          <a:avLst/>
        </a:prstGeom>
      </xdr:spPr>
    </xdr:pic>
    <xdr:clientData/>
  </xdr:twoCellAnchor>
  <xdr:twoCellAnchor>
    <xdr:from>
      <xdr:col>133</xdr:col>
      <xdr:colOff>0</xdr:colOff>
      <xdr:row>134</xdr:row>
      <xdr:rowOff>0</xdr:rowOff>
    </xdr:from>
    <xdr:to>
      <xdr:col>134</xdr:col>
      <xdr:colOff>0</xdr:colOff>
      <xdr:row>136</xdr:row>
      <xdr:rowOff>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3639800" y="6629400"/>
          <a:ext cx="95250" cy="95250"/>
        </a:xfrm>
        <a:prstGeom prst="rect">
          <a:avLst/>
        </a:prstGeom>
      </xdr:spPr>
    </xdr:pic>
    <xdr:clientData/>
  </xdr:twoCellAnchor>
  <xdr:twoCellAnchor>
    <xdr:from>
      <xdr:col>155</xdr:col>
      <xdr:colOff>0</xdr:colOff>
      <xdr:row>134</xdr:row>
      <xdr:rowOff>0</xdr:rowOff>
    </xdr:from>
    <xdr:to>
      <xdr:col>159</xdr:col>
      <xdr:colOff>0</xdr:colOff>
      <xdr:row>136</xdr:row>
      <xdr:rowOff>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5792450" y="6629400"/>
          <a:ext cx="95250" cy="95250"/>
        </a:xfrm>
        <a:prstGeom prst="rect">
          <a:avLst/>
        </a:prstGeom>
      </xdr:spPr>
    </xdr:pic>
    <xdr:clientData/>
  </xdr:twoCellAnchor>
  <xdr:twoCellAnchor editAs="oneCell">
    <xdr:from>
      <xdr:col>135</xdr:col>
      <xdr:colOff>0</xdr:colOff>
      <xdr:row>101</xdr:row>
      <xdr:rowOff>0</xdr:rowOff>
    </xdr:from>
    <xdr:to>
      <xdr:col>136</xdr:col>
      <xdr:colOff>95244</xdr:colOff>
      <xdr:row>103</xdr:row>
      <xdr:rowOff>57144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3754100" y="4933950"/>
          <a:ext cx="152394" cy="152394"/>
        </a:xfrm>
        <a:prstGeom prst="rect">
          <a:avLst/>
        </a:prstGeom>
      </xdr:spPr>
    </xdr:pic>
    <xdr:clientData/>
  </xdr:twoCellAnchor>
  <xdr:twoCellAnchor>
    <xdr:from>
      <xdr:col>22</xdr:col>
      <xdr:colOff>0</xdr:colOff>
      <xdr:row>138</xdr:row>
      <xdr:rowOff>0</xdr:rowOff>
    </xdr:from>
    <xdr:to>
      <xdr:col>23</xdr:col>
      <xdr:colOff>0</xdr:colOff>
      <xdr:row>140</xdr:row>
      <xdr:rowOff>0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676400" y="6819900"/>
          <a:ext cx="95250" cy="95250"/>
        </a:xfrm>
        <a:prstGeom prst="rect">
          <a:avLst/>
        </a:prstGeom>
      </xdr:spPr>
    </xdr:pic>
    <xdr:clientData/>
  </xdr:twoCellAnchor>
  <xdr:twoCellAnchor>
    <xdr:from>
      <xdr:col>79</xdr:col>
      <xdr:colOff>0</xdr:colOff>
      <xdr:row>138</xdr:row>
      <xdr:rowOff>0</xdr:rowOff>
    </xdr:from>
    <xdr:to>
      <xdr:col>80</xdr:col>
      <xdr:colOff>0</xdr:colOff>
      <xdr:row>140</xdr:row>
      <xdr:rowOff>0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8515350" y="6819900"/>
          <a:ext cx="95250" cy="95250"/>
        </a:xfrm>
        <a:prstGeom prst="rect">
          <a:avLst/>
        </a:prstGeom>
      </xdr:spPr>
    </xdr:pic>
    <xdr:clientData/>
  </xdr:twoCellAnchor>
  <xdr:twoCellAnchor>
    <xdr:from>
      <xdr:col>22</xdr:col>
      <xdr:colOff>0</xdr:colOff>
      <xdr:row>156</xdr:row>
      <xdr:rowOff>0</xdr:rowOff>
    </xdr:from>
    <xdr:to>
      <xdr:col>23</xdr:col>
      <xdr:colOff>0</xdr:colOff>
      <xdr:row>159</xdr:row>
      <xdr:rowOff>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676400" y="8439150"/>
          <a:ext cx="95250" cy="95250"/>
        </a:xfrm>
        <a:prstGeom prst="rect">
          <a:avLst/>
        </a:prstGeom>
      </xdr:spPr>
    </xdr:pic>
    <xdr:clientData/>
  </xdr:twoCellAnchor>
  <xdr:twoCellAnchor>
    <xdr:from>
      <xdr:col>79</xdr:col>
      <xdr:colOff>0</xdr:colOff>
      <xdr:row>156</xdr:row>
      <xdr:rowOff>0</xdr:rowOff>
    </xdr:from>
    <xdr:to>
      <xdr:col>80</xdr:col>
      <xdr:colOff>0</xdr:colOff>
      <xdr:row>159</xdr:row>
      <xdr:rowOff>0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8515350" y="8439150"/>
          <a:ext cx="95250" cy="95250"/>
        </a:xfrm>
        <a:prstGeom prst="rect">
          <a:avLst/>
        </a:prstGeom>
      </xdr:spPr>
    </xdr:pic>
    <xdr:clientData/>
  </xdr:twoCellAnchor>
  <xdr:twoCellAnchor>
    <xdr:from>
      <xdr:col>24</xdr:col>
      <xdr:colOff>0</xdr:colOff>
      <xdr:row>143</xdr:row>
      <xdr:rowOff>0</xdr:rowOff>
    </xdr:from>
    <xdr:to>
      <xdr:col>25</xdr:col>
      <xdr:colOff>0</xdr:colOff>
      <xdr:row>144</xdr:row>
      <xdr:rowOff>0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790700" y="7105650"/>
          <a:ext cx="38100" cy="38100"/>
        </a:xfrm>
        <a:prstGeom prst="rect">
          <a:avLst/>
        </a:prstGeom>
      </xdr:spPr>
    </xdr:pic>
    <xdr:clientData/>
  </xdr:twoCellAnchor>
  <xdr:twoCellAnchor>
    <xdr:from>
      <xdr:col>77</xdr:col>
      <xdr:colOff>0</xdr:colOff>
      <xdr:row>143</xdr:row>
      <xdr:rowOff>0</xdr:rowOff>
    </xdr:from>
    <xdr:to>
      <xdr:col>78</xdr:col>
      <xdr:colOff>0</xdr:colOff>
      <xdr:row>144</xdr:row>
      <xdr:rowOff>0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8458200" y="7105650"/>
          <a:ext cx="38100" cy="38100"/>
        </a:xfrm>
        <a:prstGeom prst="rect">
          <a:avLst/>
        </a:prstGeom>
      </xdr:spPr>
    </xdr:pic>
    <xdr:clientData/>
  </xdr:twoCellAnchor>
  <xdr:twoCellAnchor>
    <xdr:from>
      <xdr:col>24</xdr:col>
      <xdr:colOff>0</xdr:colOff>
      <xdr:row>147</xdr:row>
      <xdr:rowOff>0</xdr:rowOff>
    </xdr:from>
    <xdr:to>
      <xdr:col>25</xdr:col>
      <xdr:colOff>0</xdr:colOff>
      <xdr:row>148</xdr:row>
      <xdr:rowOff>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790700" y="7277100"/>
          <a:ext cx="38100" cy="38100"/>
        </a:xfrm>
        <a:prstGeom prst="rect">
          <a:avLst/>
        </a:prstGeom>
      </xdr:spPr>
    </xdr:pic>
    <xdr:clientData/>
  </xdr:twoCellAnchor>
  <xdr:twoCellAnchor>
    <xdr:from>
      <xdr:col>77</xdr:col>
      <xdr:colOff>0</xdr:colOff>
      <xdr:row>147</xdr:row>
      <xdr:rowOff>0</xdr:rowOff>
    </xdr:from>
    <xdr:to>
      <xdr:col>78</xdr:col>
      <xdr:colOff>0</xdr:colOff>
      <xdr:row>148</xdr:row>
      <xdr:rowOff>0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8458200" y="7277100"/>
          <a:ext cx="38100" cy="38100"/>
        </a:xfrm>
        <a:prstGeom prst="rect">
          <a:avLst/>
        </a:prstGeom>
      </xdr:spPr>
    </xdr:pic>
    <xdr:clientData/>
  </xdr:twoCellAnchor>
  <xdr:twoCellAnchor>
    <xdr:from>
      <xdr:col>83</xdr:col>
      <xdr:colOff>0</xdr:colOff>
      <xdr:row>138</xdr:row>
      <xdr:rowOff>0</xdr:rowOff>
    </xdr:from>
    <xdr:to>
      <xdr:col>86</xdr:col>
      <xdr:colOff>0</xdr:colOff>
      <xdr:row>140</xdr:row>
      <xdr:rowOff>0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715375" y="6819900"/>
          <a:ext cx="95250" cy="95250"/>
        </a:xfrm>
        <a:prstGeom prst="rect">
          <a:avLst/>
        </a:prstGeom>
      </xdr:spPr>
    </xdr:pic>
    <xdr:clientData/>
  </xdr:twoCellAnchor>
  <xdr:twoCellAnchor>
    <xdr:from>
      <xdr:col>120</xdr:col>
      <xdr:colOff>0</xdr:colOff>
      <xdr:row>138</xdr:row>
      <xdr:rowOff>0</xdr:rowOff>
    </xdr:from>
    <xdr:to>
      <xdr:col>121</xdr:col>
      <xdr:colOff>0</xdr:colOff>
      <xdr:row>140</xdr:row>
      <xdr:rowOff>0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2153900" y="6819900"/>
          <a:ext cx="95250" cy="95250"/>
        </a:xfrm>
        <a:prstGeom prst="rect">
          <a:avLst/>
        </a:prstGeom>
      </xdr:spPr>
    </xdr:pic>
    <xdr:clientData/>
  </xdr:twoCellAnchor>
  <xdr:twoCellAnchor>
    <xdr:from>
      <xdr:col>83</xdr:col>
      <xdr:colOff>0</xdr:colOff>
      <xdr:row>156</xdr:row>
      <xdr:rowOff>0</xdr:rowOff>
    </xdr:from>
    <xdr:to>
      <xdr:col>86</xdr:col>
      <xdr:colOff>0</xdr:colOff>
      <xdr:row>159</xdr:row>
      <xdr:rowOff>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8715375" y="8439150"/>
          <a:ext cx="95250" cy="95250"/>
        </a:xfrm>
        <a:prstGeom prst="rect">
          <a:avLst/>
        </a:prstGeom>
      </xdr:spPr>
    </xdr:pic>
    <xdr:clientData/>
  </xdr:twoCellAnchor>
  <xdr:twoCellAnchor>
    <xdr:from>
      <xdr:col>120</xdr:col>
      <xdr:colOff>0</xdr:colOff>
      <xdr:row>156</xdr:row>
      <xdr:rowOff>0</xdr:rowOff>
    </xdr:from>
    <xdr:to>
      <xdr:col>121</xdr:col>
      <xdr:colOff>0</xdr:colOff>
      <xdr:row>159</xdr:row>
      <xdr:rowOff>0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2153900" y="8439150"/>
          <a:ext cx="95250" cy="95250"/>
        </a:xfrm>
        <a:prstGeom prst="rect">
          <a:avLst/>
        </a:prstGeom>
      </xdr:spPr>
    </xdr:pic>
    <xdr:clientData/>
  </xdr:twoCellAnchor>
  <xdr:twoCellAnchor>
    <xdr:from>
      <xdr:col>87</xdr:col>
      <xdr:colOff>0</xdr:colOff>
      <xdr:row>143</xdr:row>
      <xdr:rowOff>0</xdr:rowOff>
    </xdr:from>
    <xdr:to>
      <xdr:col>89</xdr:col>
      <xdr:colOff>0</xdr:colOff>
      <xdr:row>144</xdr:row>
      <xdr:rowOff>0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8829675" y="7105650"/>
          <a:ext cx="38100" cy="38100"/>
        </a:xfrm>
        <a:prstGeom prst="rect">
          <a:avLst/>
        </a:prstGeom>
      </xdr:spPr>
    </xdr:pic>
    <xdr:clientData/>
  </xdr:twoCellAnchor>
  <xdr:twoCellAnchor>
    <xdr:from>
      <xdr:col>118</xdr:col>
      <xdr:colOff>0</xdr:colOff>
      <xdr:row>143</xdr:row>
      <xdr:rowOff>0</xdr:rowOff>
    </xdr:from>
    <xdr:to>
      <xdr:col>119</xdr:col>
      <xdr:colOff>0</xdr:colOff>
      <xdr:row>144</xdr:row>
      <xdr:rowOff>0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2096750" y="7105650"/>
          <a:ext cx="38100" cy="38100"/>
        </a:xfrm>
        <a:prstGeom prst="rect">
          <a:avLst/>
        </a:prstGeom>
      </xdr:spPr>
    </xdr:pic>
    <xdr:clientData/>
  </xdr:twoCellAnchor>
  <xdr:twoCellAnchor>
    <xdr:from>
      <xdr:col>87</xdr:col>
      <xdr:colOff>0</xdr:colOff>
      <xdr:row>147</xdr:row>
      <xdr:rowOff>0</xdr:rowOff>
    </xdr:from>
    <xdr:to>
      <xdr:col>89</xdr:col>
      <xdr:colOff>0</xdr:colOff>
      <xdr:row>148</xdr:row>
      <xdr:rowOff>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8829675" y="7277100"/>
          <a:ext cx="38100" cy="38100"/>
        </a:xfrm>
        <a:prstGeom prst="rect">
          <a:avLst/>
        </a:prstGeom>
      </xdr:spPr>
    </xdr:pic>
    <xdr:clientData/>
  </xdr:twoCellAnchor>
  <xdr:twoCellAnchor>
    <xdr:from>
      <xdr:col>118</xdr:col>
      <xdr:colOff>0</xdr:colOff>
      <xdr:row>147</xdr:row>
      <xdr:rowOff>0</xdr:rowOff>
    </xdr:from>
    <xdr:to>
      <xdr:col>119</xdr:col>
      <xdr:colOff>0</xdr:colOff>
      <xdr:row>148</xdr:row>
      <xdr:rowOff>0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2096750" y="7277100"/>
          <a:ext cx="38100" cy="38100"/>
        </a:xfrm>
        <a:prstGeom prst="rect">
          <a:avLst/>
        </a:prstGeom>
      </xdr:spPr>
    </xdr:pic>
    <xdr:clientData/>
  </xdr:twoCellAnchor>
  <xdr:twoCellAnchor>
    <xdr:from>
      <xdr:col>122</xdr:col>
      <xdr:colOff>0</xdr:colOff>
      <xdr:row>138</xdr:row>
      <xdr:rowOff>0</xdr:rowOff>
    </xdr:from>
    <xdr:to>
      <xdr:col>123</xdr:col>
      <xdr:colOff>0</xdr:colOff>
      <xdr:row>140</xdr:row>
      <xdr:rowOff>0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2353925" y="6819900"/>
          <a:ext cx="95250" cy="95250"/>
        </a:xfrm>
        <a:prstGeom prst="rect">
          <a:avLst/>
        </a:prstGeom>
      </xdr:spPr>
    </xdr:pic>
    <xdr:clientData/>
  </xdr:twoCellAnchor>
  <xdr:twoCellAnchor>
    <xdr:from>
      <xdr:col>155</xdr:col>
      <xdr:colOff>0</xdr:colOff>
      <xdr:row>138</xdr:row>
      <xdr:rowOff>0</xdr:rowOff>
    </xdr:from>
    <xdr:to>
      <xdr:col>159</xdr:col>
      <xdr:colOff>0</xdr:colOff>
      <xdr:row>140</xdr:row>
      <xdr:rowOff>0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5792450" y="6819900"/>
          <a:ext cx="95250" cy="95250"/>
        </a:xfrm>
        <a:prstGeom prst="rect">
          <a:avLst/>
        </a:prstGeom>
      </xdr:spPr>
    </xdr:pic>
    <xdr:clientData/>
  </xdr:twoCellAnchor>
  <xdr:twoCellAnchor>
    <xdr:from>
      <xdr:col>122</xdr:col>
      <xdr:colOff>0</xdr:colOff>
      <xdr:row>156</xdr:row>
      <xdr:rowOff>0</xdr:rowOff>
    </xdr:from>
    <xdr:to>
      <xdr:col>123</xdr:col>
      <xdr:colOff>0</xdr:colOff>
      <xdr:row>159</xdr:row>
      <xdr:rowOff>0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2353925" y="8439150"/>
          <a:ext cx="95250" cy="95250"/>
        </a:xfrm>
        <a:prstGeom prst="rect">
          <a:avLst/>
        </a:prstGeom>
      </xdr:spPr>
    </xdr:pic>
    <xdr:clientData/>
  </xdr:twoCellAnchor>
  <xdr:twoCellAnchor>
    <xdr:from>
      <xdr:col>155</xdr:col>
      <xdr:colOff>0</xdr:colOff>
      <xdr:row>156</xdr:row>
      <xdr:rowOff>0</xdr:rowOff>
    </xdr:from>
    <xdr:to>
      <xdr:col>159</xdr:col>
      <xdr:colOff>0</xdr:colOff>
      <xdr:row>159</xdr:row>
      <xdr:rowOff>0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5792450" y="8439150"/>
          <a:ext cx="95250" cy="95250"/>
        </a:xfrm>
        <a:prstGeom prst="rect">
          <a:avLst/>
        </a:prstGeom>
      </xdr:spPr>
    </xdr:pic>
    <xdr:clientData/>
  </xdr:twoCellAnchor>
  <xdr:twoCellAnchor>
    <xdr:from>
      <xdr:col>124</xdr:col>
      <xdr:colOff>0</xdr:colOff>
      <xdr:row>143</xdr:row>
      <xdr:rowOff>0</xdr:rowOff>
    </xdr:from>
    <xdr:to>
      <xdr:col>126</xdr:col>
      <xdr:colOff>0</xdr:colOff>
      <xdr:row>144</xdr:row>
      <xdr:rowOff>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2468225" y="7105650"/>
          <a:ext cx="38100" cy="38100"/>
        </a:xfrm>
        <a:prstGeom prst="rect">
          <a:avLst/>
        </a:prstGeom>
      </xdr:spPr>
    </xdr:pic>
    <xdr:clientData/>
  </xdr:twoCellAnchor>
  <xdr:twoCellAnchor>
    <xdr:from>
      <xdr:col>153</xdr:col>
      <xdr:colOff>0</xdr:colOff>
      <xdr:row>143</xdr:row>
      <xdr:rowOff>0</xdr:rowOff>
    </xdr:from>
    <xdr:to>
      <xdr:col>154</xdr:col>
      <xdr:colOff>0</xdr:colOff>
      <xdr:row>144</xdr:row>
      <xdr:rowOff>0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5735300" y="7105650"/>
          <a:ext cx="38100" cy="38100"/>
        </a:xfrm>
        <a:prstGeom prst="rect">
          <a:avLst/>
        </a:prstGeom>
      </xdr:spPr>
    </xdr:pic>
    <xdr:clientData/>
  </xdr:twoCellAnchor>
  <xdr:twoCellAnchor>
    <xdr:from>
      <xdr:col>124</xdr:col>
      <xdr:colOff>0</xdr:colOff>
      <xdr:row>147</xdr:row>
      <xdr:rowOff>0</xdr:rowOff>
    </xdr:from>
    <xdr:to>
      <xdr:col>126</xdr:col>
      <xdr:colOff>0</xdr:colOff>
      <xdr:row>148</xdr:row>
      <xdr:rowOff>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2468225" y="7277100"/>
          <a:ext cx="38100" cy="38100"/>
        </a:xfrm>
        <a:prstGeom prst="rect">
          <a:avLst/>
        </a:prstGeom>
      </xdr:spPr>
    </xdr:pic>
    <xdr:clientData/>
  </xdr:twoCellAnchor>
  <xdr:twoCellAnchor>
    <xdr:from>
      <xdr:col>153</xdr:col>
      <xdr:colOff>0</xdr:colOff>
      <xdr:row>147</xdr:row>
      <xdr:rowOff>0</xdr:rowOff>
    </xdr:from>
    <xdr:to>
      <xdr:col>154</xdr:col>
      <xdr:colOff>0</xdr:colOff>
      <xdr:row>148</xdr:row>
      <xdr:rowOff>0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5735300" y="7277100"/>
          <a:ext cx="38100" cy="38100"/>
        </a:xfrm>
        <a:prstGeom prst="rect">
          <a:avLst/>
        </a:prstGeom>
      </xdr:spPr>
    </xdr:pic>
    <xdr:clientData/>
  </xdr:twoCellAnchor>
  <xdr:twoCellAnchor>
    <xdr:from>
      <xdr:col>133</xdr:col>
      <xdr:colOff>38100</xdr:colOff>
      <xdr:row>23</xdr:row>
      <xdr:rowOff>19050</xdr:rowOff>
    </xdr:from>
    <xdr:to>
      <xdr:col>145</xdr:col>
      <xdr:colOff>38100</xdr:colOff>
      <xdr:row>47</xdr:row>
      <xdr:rowOff>0</xdr:rowOff>
    </xdr:to>
    <xdr:graphicFrame macro="">
      <xdr:nvGraphicFramePr>
        <xdr:cNvPr id="181" name="Chart 18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22</xdr:col>
      <xdr:colOff>57150</xdr:colOff>
      <xdr:row>67</xdr:row>
      <xdr:rowOff>0</xdr:rowOff>
    </xdr:from>
    <xdr:to>
      <xdr:col>53</xdr:col>
      <xdr:colOff>38100</xdr:colOff>
      <xdr:row>93</xdr:row>
      <xdr:rowOff>38100</xdr:rowOff>
    </xdr:to>
    <xdr:graphicFrame macro="">
      <xdr:nvGraphicFramePr>
        <xdr:cNvPr id="182" name="Chart 18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57</xdr:col>
      <xdr:colOff>57150</xdr:colOff>
      <xdr:row>67</xdr:row>
      <xdr:rowOff>0</xdr:rowOff>
    </xdr:from>
    <xdr:to>
      <xdr:col>93</xdr:col>
      <xdr:colOff>38100</xdr:colOff>
      <xdr:row>93</xdr:row>
      <xdr:rowOff>38100</xdr:rowOff>
    </xdr:to>
    <xdr:graphicFrame macro="">
      <xdr:nvGraphicFramePr>
        <xdr:cNvPr id="183" name="Chart 18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96</xdr:col>
      <xdr:colOff>57150</xdr:colOff>
      <xdr:row>67</xdr:row>
      <xdr:rowOff>0</xdr:rowOff>
    </xdr:from>
    <xdr:to>
      <xdr:col>131</xdr:col>
      <xdr:colOff>19050</xdr:colOff>
      <xdr:row>93</xdr:row>
      <xdr:rowOff>38100</xdr:rowOff>
    </xdr:to>
    <xdr:graphicFrame macro="">
      <xdr:nvGraphicFramePr>
        <xdr:cNvPr id="184" name="Chart 18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22</xdr:col>
      <xdr:colOff>57150</xdr:colOff>
      <xdr:row>106</xdr:row>
      <xdr:rowOff>19050</xdr:rowOff>
    </xdr:from>
    <xdr:to>
      <xdr:col>53</xdr:col>
      <xdr:colOff>38100</xdr:colOff>
      <xdr:row>135</xdr:row>
      <xdr:rowOff>0</xdr:rowOff>
    </xdr:to>
    <xdr:graphicFrame macro="">
      <xdr:nvGraphicFramePr>
        <xdr:cNvPr id="185" name="Chart 18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57</xdr:col>
      <xdr:colOff>57150</xdr:colOff>
      <xdr:row>106</xdr:row>
      <xdr:rowOff>19050</xdr:rowOff>
    </xdr:from>
    <xdr:to>
      <xdr:col>93</xdr:col>
      <xdr:colOff>38100</xdr:colOff>
      <xdr:row>135</xdr:row>
      <xdr:rowOff>0</xdr:rowOff>
    </xdr:to>
    <xdr:graphicFrame macro="">
      <xdr:nvGraphicFramePr>
        <xdr:cNvPr id="186" name="Chart 18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96</xdr:col>
      <xdr:colOff>57150</xdr:colOff>
      <xdr:row>106</xdr:row>
      <xdr:rowOff>19050</xdr:rowOff>
    </xdr:from>
    <xdr:to>
      <xdr:col>131</xdr:col>
      <xdr:colOff>19050</xdr:colOff>
      <xdr:row>135</xdr:row>
      <xdr:rowOff>0</xdr:rowOff>
    </xdr:to>
    <xdr:graphicFrame macro="">
      <xdr:nvGraphicFramePr>
        <xdr:cNvPr id="187" name="Chart 18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blMovimenti" displayName="tblMovimenti" ref="A5:W6" totalsRowShown="0">
  <autoFilter ref="A5:W6"/>
  <tableColumns count="23">
    <tableColumn id="1" name="ID" dataDxfId="4"/>
    <tableColumn id="2" name="Data" dataDxfId="5"/>
    <tableColumn id="3" name="Mese" dataDxfId="6">
      <calculatedColumnFormula>IF(tblMovimenti[[#This Row],[Data]]="","",CHOOSE(MONTH(tblMovimenti[[#This Row],[Data]]),"Gen","Feb","Mar","Apr","Mag","Giu","Lug","Ago","Set","Ott","Nov","Dic")&amp;"-"&amp;RIGHT(YEAR(tblMovimenti[[#This Row],[Data]]),2))</calculatedColumnFormula>
    </tableColumn>
    <tableColumn id="4" name="Magazzino" dataDxfId="4"/>
    <tableColumn id="5" name="Città" dataDxfId="6">
      <calculatedColumnFormula>IFERROR(INDEX(WH_City,MATCH(tblMovimenti[[#This Row],[Magazzino]],WH_Code,0)),"")</calculatedColumnFormula>
    </tableColumn>
    <tableColumn id="6" name="Codice prodotto" dataDxfId="4"/>
    <tableColumn id="7" name="Prodotto" dataDxfId="7">
      <calculatedColumnFormula>IFERROR(INDEX(tblProdotti[Prodotto],MATCH(tblMovimenti[[#This Row],[Codice prodotto]],tblProdotti[Codice],0)),"")</calculatedColumnFormula>
    </tableColumn>
    <tableColumn id="8" name="Categoria" dataDxfId="7">
      <calculatedColumnFormula>IFERROR(INDEX(tblProdotti[Categoria],MATCH(tblMovimenti[[#This Row],[Codice prodotto]],tblProdotti[Codice],0)),"")</calculatedColumnFormula>
    </tableColumn>
    <tableColumn id="9" name="Ricevuti" dataDxfId="8"/>
    <tableColumn id="10" name="Spediti" dataDxfId="8"/>
    <tableColumn id="11" name="Danneggiati" dataDxfId="8"/>
    <tableColumn id="12" name="Costo stoccaggio" dataDxfId="9"/>
    <tableColumn id="13" name="Costo movimentazione" dataDxfId="9"/>
    <tableColumn id="14" name="Giacenza dopo" dataDxfId="10">
      <calculatedColumnFormula>IF(OR(tblMovimenti[[#This Row],[Magazzino]]="",tblMovimenti[[#This Row],[Categoria]]="",tblMovimenti[[#This Row],[Data]]=""),"",IFERROR(INDEX(Open_Matrix,MATCH(tblMovimenti[[#This Row],[Magazzino]],WH_Code,0),MATCH(tblMovimenti[[#This Row],[Categoria]],Cat_List,0)),0)+SUMIFS(tblMovimenti[Ricevuti],tblMovimenti[Magazzino],tblMovimenti[[#This Row],[Magazzino]],tblMovimenti[Categoria],tblMovimenti[[#This Row],[Categoria]],tblMovimenti[Data],"&lt;="&amp;tblMovimenti[[#This Row],[Data]])-SUMIFS(tblMovimenti[Spediti],tblMovimenti[Magazzino],tblMovimenti[[#This Row],[Magazzino]],tblMovimenti[Categoria],tblMovimenti[[#This Row],[Categoria]],tblMovimenti[Data],"&lt;="&amp;tblMovimenti[[#This Row],[Data]])-SUMIFS(tblMovimenti[Danneggiati],tblMovimenti[Magazzino],tblMovimenti[[#This Row],[Magazzino]],tblMovimenti[Categoria],tblMovimenti[[#This Row],[Categoria]],tblMovimenti[Data],"&lt;="&amp;tblMovimenti[[#This Row],[Data]]))</calculatedColumnFormula>
    </tableColumn>
    <tableColumn id="15" name="Utilizzo magazzino" dataDxfId="11">
      <calculatedColumnFormula>IF(OR(tblMovimenti[[#This Row],[Magazzino]]="",tblMovimenti[[#This Row],[Data]]=""),"",IFERROR((INDEX(WH_Open,MATCH(tblMovimenti[[#This Row],[Magazzino]],WH_Code,0))+SUMIFS(tblMovimenti[Ricevuti],tblMovimenti[Magazzino],tblMovimenti[[#This Row],[Magazzino]],tblMovimenti[Data],"&lt;="&amp;tblMovimenti[[#This Row],[Data]])-SUMIFS(tblMovimenti[Spediti],tblMovimenti[Magazzino],tblMovimenti[[#This Row],[Magazzino]],tblMovimenti[Data],"&lt;="&amp;tblMovimenti[[#This Row],[Data]])-SUMIFS(tblMovimenti[Danneggiati],tblMovimenti[Magazzino],tblMovimenti[[#This Row],[Magazzino]],tblMovimenti[Data],"&lt;="&amp;tblMovimenti[[#This Row],[Data]]))/INDEX(WH_Cap,MATCH(tblMovimenti[[#This Row],[Magazzino]],WH_Code,0)),""))</calculatedColumnFormula>
    </tableColumn>
    <tableColumn id="16" name="Scorta bassa" dataDxfId="12">
      <calculatedColumnFormula>IF(ISNUMBER(tblMovimenti[[#This Row],[Giacenza dopo]]),--(tblMovimenti[[#This Row],[Giacenza dopo]]&lt;N_Stock),0)</calculatedColumnFormula>
    </tableColumn>
    <tableColumn id="17" name="Danni elevati" dataDxfId="12">
      <calculatedColumnFormula>--(N(tblMovimenti[[#This Row],[Danneggiati]])&gt;N_Dmg)</calculatedColumnFormula>
    </tableColumn>
    <tableColumn id="18" name="Utilizzo alto" dataDxfId="12">
      <calculatedColumnFormula>IF(ISNUMBER(tblMovimenti[[#This Row],[Utilizzo magazzino]]),--(tblMovimenti[[#This Row],[Utilizzo magazzino]]&gt;N_Util),0)</calculatedColumnFormula>
    </tableColumn>
    <tableColumn id="19" name="Stato" dataDxfId="6">
      <calculatedColumnFormula>IF(tblMovimenti[[#This Row],[Magazzino]]="","",IF(tblMovimenti[[#This Row],[Scorta bassa]]+tblMovimenti[[#This Row],[Danni elevati]]+tblMovimenti[[#This Row],[Utilizzo alto]]&gt;=2,"Critico",IF(tblMovimenti[[#This Row],[Scorta bassa]]+tblMovimenti[[#This Row],[Danni elevati]]+tblMovimenti[[#This Row],[Utilizzo alto]]=1,"Attenzione","OK")))</calculatedColumnFormula>
    </tableColumn>
    <tableColumn id="20" name="Inizio mese" dataDxfId="13">
      <calculatedColumnFormula>IF(tblMovimenti[[#This Row],[Data]]="","",DATE(YEAR(tblMovimenti[[#This Row],[Data]]),MONTH(tblMovimenti[[#This Row],[Data]]),1))</calculatedColumnFormula>
    </tableColumn>
    <tableColumn id="21" name="Indice mese" dataDxfId="14">
      <calculatedColumnFormula>IF(tblMovimenti[[#This Row],[Data]]="",0,IFERROR(MATCH(tblMovimenti[[#This Row],[Inizio mese]],Month_Starts,0),0))</calculatedColumnFormula>
    </tableColumn>
    <tableColumn id="22" name="Filtro giacenza" dataDxfId="14">
      <calculatedColumnFormula>IF(tblMovimenti[[#This Row],[Magazzino]]="",0,--AND(OR(N_WH="Tutti",tblMovimenti[[#This Row],[Magazzino]]=N_WH),OR(N_City="Tutte",tblMovimenti[[#This Row],[Città]]=N_City),OR(N_Cat="Tutte",tblMovimenti[[#This Row],[Categoria]]=N_Cat)))</calculatedColumnFormula>
    </tableColumn>
    <tableColumn id="23" name="Filtro flussi" dataDxfId="14">
      <calculatedColumnFormula>tblMovimenti[[#This Row],[Filtro giacenza]]*IF(N_Status="Tutti",1,IF(N_Status="Scorta bassa",tblMovimenti[[#This Row],[Scorta bassa]],IF(N_Status="Danni elevati",tblMovimenti[[#This Row],[Danni elevati]],IF(N_Status="Utilizzo alto",tblMovimenti[[#This Row],[Utilizzo alto]],--(tblMovimenti[[#This Row],[Stato]]="Critico")))))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blProdotti" displayName="tblProdotti" ref="A5:I6" totalsRowShown="0">
  <autoFilter ref="A5:I6"/>
  <tableColumns count="9">
    <tableColumn id="1" name="Codice" dataDxfId="0"/>
    <tableColumn id="2" name="Prodotto" dataDxfId="1"/>
    <tableColumn id="3" name="Categoria" dataDxfId="1"/>
    <tableColumn id="4" name="UdM" dataDxfId="0"/>
    <tableColumn id="5" name="Movimenti" dataDxfId="2">
      <calculatedColumnFormula>IF(tblProdotti[[#This Row],[Codice]]="","",COUNTIFS(tblMovimenti[Codice prodotto],tblProdotti[[#This Row],[Codice]]))</calculatedColumnFormula>
    </tableColumn>
    <tableColumn id="6" name="Ricevuti" dataDxfId="2">
      <calculatedColumnFormula>IF(tblProdotti[[#This Row],[Codice]]="","",SUMIFS(tblMovimenti[Ricevuti],tblMovimenti[Codice prodotto],tblProdotti[[#This Row],[Codice]]))</calculatedColumnFormula>
    </tableColumn>
    <tableColumn id="7" name="Spediti" dataDxfId="2">
      <calculatedColumnFormula>IF(tblProdotti[[#This Row],[Codice]]="","",SUMIFS(tblMovimenti[Spediti],tblMovimenti[Codice prodotto],tblProdotti[[#This Row],[Codice]]))</calculatedColumnFormula>
    </tableColumn>
    <tableColumn id="8" name="Danneggiati" dataDxfId="2">
      <calculatedColumnFormula>IF(tblProdotti[[#This Row],[Codice]]="","",SUMIFS(tblMovimenti[Danneggiati],tblMovimenti[Codice prodotto],tblProdotti[[#This Row],[Codice]]))</calculatedColumnFormula>
    </tableColumn>
    <tableColumn id="9" name="Tasso danni" dataDxfId="3">
      <calculatedColumnFormula>IF(tblProdotti[[#This Row],[Codice]]="","",IF(N(tblProdotti[[#This Row],[Ricevuti]])&gt;0,tblProdotti[[#This Row],[Danneggiati]]/tblProdotti[[#This Row],[Ricevuti]],0))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2B632"/>
    <pageSetUpPr fitToPage="1"/>
  </sheetPr>
  <dimension ref="A1:FD165"/>
  <sheetViews>
    <sheetView showGridLines="0" showRowColHeaders="0" tabSelected="1" zoomScale="80" zoomScaleNormal="80" workbookViewId="0">
      <selection activeCell="BX9" sqref="BX9"/>
    </sheetView>
  </sheetViews>
  <sheetFormatPr defaultRowHeight="15" zeroHeight="1"/>
  <cols>
    <col min="1" max="1" width="1.140625" customWidth="1"/>
    <col min="2" max="2" width="0.28515625" customWidth="1"/>
    <col min="3" max="3" width="0.85546875" customWidth="1"/>
    <col min="4" max="4" width="2.85546875" customWidth="1"/>
    <col min="5" max="5" width="0.28515625" customWidth="1"/>
    <col min="6" max="6" width="1.42578125" customWidth="1"/>
    <col min="7" max="7" width="1.28515625" customWidth="1"/>
    <col min="8" max="8" width="0.5703125" customWidth="1"/>
    <col min="9" max="9" width="4.42578125" customWidth="1"/>
    <col min="10" max="10" width="1.5703125" customWidth="1"/>
    <col min="11" max="11" width="0.5703125" customWidth="1"/>
    <col min="12" max="12" width="3.28515625" customWidth="1"/>
    <col min="13" max="13" width="2.5703125" customWidth="1"/>
    <col min="14" max="18" width="0.28515625" customWidth="1"/>
    <col min="19" max="19" width="0.85546875" customWidth="1"/>
    <col min="20" max="20" width="0.28515625" customWidth="1"/>
    <col min="21" max="21" width="0.85546875" customWidth="1"/>
    <col min="22" max="22" width="0.5703125" customWidth="1"/>
    <col min="23" max="23" width="1.42578125" customWidth="1"/>
    <col min="24" max="24" width="0.28515625" customWidth="1"/>
    <col min="25" max="25" width="0.5703125" customWidth="1"/>
    <col min="26" max="26" width="3.140625" customWidth="1"/>
    <col min="27" max="27" width="3.7109375" customWidth="1"/>
    <col min="28" max="28" width="1.140625" customWidth="1"/>
    <col min="29" max="29" width="2" customWidth="1"/>
    <col min="30" max="30" width="0.28515625" customWidth="1"/>
    <col min="31" max="31" width="6.28515625" customWidth="1"/>
    <col min="32" max="32" width="0.85546875" customWidth="1"/>
    <col min="33" max="33" width="1.140625" customWidth="1"/>
    <col min="34" max="34" width="0.85546875" customWidth="1"/>
    <col min="35" max="35" width="3.140625" customWidth="1"/>
    <col min="36" max="36" width="8" customWidth="1"/>
    <col min="37" max="37" width="0.28515625" customWidth="1"/>
    <col min="38" max="38" width="1.140625" customWidth="1"/>
    <col min="39" max="39" width="0.140625" customWidth="1"/>
    <col min="40" max="40" width="1.140625" customWidth="1"/>
    <col min="41" max="42" width="0.140625" customWidth="1"/>
    <col min="43" max="43" width="1.42578125" customWidth="1"/>
    <col min="44" max="44" width="3.85546875" customWidth="1"/>
    <col min="45" max="45" width="0.85546875" customWidth="1"/>
    <col min="46" max="46" width="1.140625" customWidth="1"/>
    <col min="47" max="47" width="0.85546875" customWidth="1"/>
    <col min="48" max="48" width="0.7109375" customWidth="1"/>
    <col min="49" max="49" width="1.42578125" customWidth="1"/>
    <col min="50" max="50" width="0.7109375" customWidth="1"/>
    <col min="51" max="51" width="1.5703125" customWidth="1"/>
    <col min="52" max="52" width="9.5703125" customWidth="1"/>
    <col min="53" max="53" width="3.42578125" customWidth="1"/>
    <col min="54" max="54" width="1.42578125" customWidth="1"/>
    <col min="55" max="55" width="0.5703125" customWidth="1"/>
    <col min="56" max="56" width="0.85546875" customWidth="1"/>
    <col min="57" max="57" width="0.140625" customWidth="1"/>
    <col min="58" max="58" width="1.42578125" customWidth="1"/>
    <col min="59" max="59" width="2.85546875" customWidth="1"/>
    <col min="60" max="60" width="0.28515625" customWidth="1"/>
    <col min="61" max="61" width="0.7109375" customWidth="1"/>
    <col min="62" max="64" width="0.140625" customWidth="1"/>
    <col min="65" max="65" width="1" customWidth="1"/>
    <col min="66" max="66" width="0.5703125" customWidth="1"/>
    <col min="67" max="67" width="1.42578125" customWidth="1"/>
    <col min="68" max="68" width="7.140625" customWidth="1"/>
    <col min="69" max="69" width="1.7109375" customWidth="1"/>
    <col min="70" max="70" width="0.28515625" customWidth="1"/>
    <col min="71" max="71" width="2" customWidth="1"/>
    <col min="72" max="72" width="8.5703125" customWidth="1"/>
    <col min="73" max="73" width="2.85546875" customWidth="1"/>
    <col min="74" max="74" width="0.85546875" customWidth="1"/>
    <col min="75" max="75" width="2.28515625" customWidth="1"/>
    <col min="76" max="76" width="0.5703125" customWidth="1"/>
    <col min="77" max="77" width="2.28515625" customWidth="1"/>
    <col min="78" max="78" width="0.5703125" customWidth="1"/>
    <col min="79" max="79" width="0.28515625" customWidth="1"/>
    <col min="80" max="80" width="1.42578125" customWidth="1"/>
    <col min="81" max="81" width="0.5703125" customWidth="1"/>
    <col min="82" max="82" width="0.28515625" customWidth="1"/>
    <col min="83" max="83" width="0.7109375" customWidth="1"/>
    <col min="84" max="84" width="0.42578125" customWidth="1"/>
    <col min="85" max="85" width="0.7109375" customWidth="1"/>
    <col min="86" max="89" width="0.28515625" customWidth="1"/>
    <col min="90" max="90" width="1.140625" customWidth="1"/>
    <col min="91" max="91" width="6.85546875" customWidth="1"/>
    <col min="92" max="92" width="2" customWidth="1"/>
    <col min="93" max="93" width="1" customWidth="1"/>
    <col min="94" max="94" width="1.28515625" customWidth="1"/>
    <col min="95" max="95" width="0.140625" customWidth="1"/>
    <col min="96" max="96" width="1.5703125" customWidth="1"/>
    <col min="97" max="97" width="1.42578125" customWidth="1"/>
    <col min="98" max="98" width="2.7109375" customWidth="1"/>
    <col min="99" max="99" width="1.28515625" customWidth="1"/>
    <col min="100" max="100" width="3.85546875" customWidth="1"/>
    <col min="101" max="101" width="2.5703125" customWidth="1"/>
    <col min="102" max="102" width="0.5703125" customWidth="1"/>
    <col min="103" max="103" width="2" customWidth="1"/>
    <col min="104" max="104" width="0.28515625" customWidth="1"/>
    <col min="105" max="105" width="1.140625" customWidth="1"/>
    <col min="106" max="106" width="2.7109375" customWidth="1"/>
    <col min="107" max="107" width="0.28515625" customWidth="1"/>
    <col min="108" max="108" width="0.42578125" customWidth="1"/>
    <col min="109" max="109" width="0.7109375" customWidth="1"/>
    <col min="110" max="110" width="0.42578125" customWidth="1"/>
    <col min="111" max="111" width="1.140625" customWidth="1"/>
    <col min="112" max="112" width="0.85546875" customWidth="1"/>
    <col min="113" max="113" width="0.5703125" customWidth="1"/>
    <col min="114" max="114" width="1.7109375" customWidth="1"/>
    <col min="115" max="115" width="4.85546875" customWidth="1"/>
    <col min="116" max="117" width="2.28515625" customWidth="1"/>
    <col min="118" max="118" width="0.28515625" customWidth="1"/>
    <col min="119" max="119" width="0.5703125" customWidth="1"/>
    <col min="120" max="120" width="0.28515625" customWidth="1"/>
    <col min="121" max="121" width="1.42578125" customWidth="1"/>
    <col min="122" max="122" width="1.5703125" customWidth="1"/>
    <col min="123" max="123" width="1.42578125" customWidth="1"/>
    <col min="124" max="124" width="0.28515625" customWidth="1"/>
    <col min="125" max="125" width="0.42578125" customWidth="1"/>
    <col min="126" max="127" width="0.140625" customWidth="1"/>
    <col min="128" max="128" width="0.85546875" customWidth="1"/>
    <col min="129" max="129" width="12" customWidth="1"/>
    <col min="130" max="130" width="0.85546875" customWidth="1"/>
    <col min="131" max="131" width="0.28515625" customWidth="1"/>
    <col min="132" max="132" width="1.140625" customWidth="1"/>
    <col min="133" max="133" width="1.7109375" customWidth="1"/>
    <col min="134" max="134" width="1.42578125" customWidth="1"/>
    <col min="135" max="135" width="0.28515625" customWidth="1"/>
    <col min="136" max="136" width="0.85546875" customWidth="1"/>
    <col min="137" max="137" width="2" customWidth="1"/>
    <col min="138" max="138" width="0.5703125" customWidth="1"/>
    <col min="139" max="139" width="2.85546875" customWidth="1"/>
    <col min="140" max="140" width="5.7109375" customWidth="1"/>
    <col min="141" max="141" width="0.5703125" customWidth="1"/>
    <col min="142" max="142" width="0.28515625" customWidth="1"/>
    <col min="143" max="143" width="1.140625" customWidth="1"/>
    <col min="144" max="144" width="0.28515625" customWidth="1"/>
    <col min="145" max="145" width="1.7109375" customWidth="1"/>
    <col min="146" max="146" width="0.85546875" customWidth="1"/>
    <col min="147" max="147" width="1.42578125" customWidth="1"/>
    <col min="148" max="149" width="0.28515625" customWidth="1"/>
    <col min="150" max="150" width="7.140625" customWidth="1"/>
    <col min="151" max="151" width="0.28515625" customWidth="1"/>
    <col min="152" max="152" width="2" customWidth="1"/>
    <col min="153" max="153" width="1.42578125" customWidth="1"/>
    <col min="154" max="154" width="0.5703125" customWidth="1"/>
    <col min="155" max="158" width="0.28515625" customWidth="1"/>
    <col min="159" max="159" width="0.5703125" customWidth="1"/>
    <col min="160" max="160" width="1.7109375" customWidth="1"/>
    <col min="161" max="16384" width="0" hidden="1" customWidth="1"/>
  </cols>
  <sheetData>
    <row r="1" spans="1:160" ht="7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</row>
    <row r="2" spans="1:160" ht="3" customHeight="1">
      <c r="A2" s="1"/>
      <c r="B2" s="1"/>
      <c r="C2" s="1"/>
      <c r="D2" s="1"/>
      <c r="E2" s="1"/>
      <c r="F2" s="1"/>
      <c r="G2" s="1"/>
      <c r="H2" s="1"/>
      <c r="I2" s="1"/>
      <c r="J2" s="2" t="s">
        <v>126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</row>
    <row r="3" spans="1:160" ht="1.5" customHeight="1">
      <c r="A3" s="1"/>
      <c r="B3" s="1"/>
      <c r="C3" s="1"/>
      <c r="D3" s="1"/>
      <c r="E3" s="1"/>
      <c r="F3" s="1"/>
      <c r="G3" s="1"/>
      <c r="H3" s="1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1"/>
      <c r="BW3" s="1"/>
      <c r="BX3" s="3" t="s">
        <v>128</v>
      </c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</row>
    <row r="4" spans="1:160" ht="1.5" customHeight="1">
      <c r="A4" s="1"/>
      <c r="B4" s="1"/>
      <c r="C4" s="1"/>
      <c r="D4" s="1"/>
      <c r="E4" s="1"/>
      <c r="F4" s="1"/>
      <c r="G4" s="1"/>
      <c r="H4" s="1"/>
      <c r="I4" s="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1"/>
      <c r="BW4" s="1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1"/>
      <c r="CZ4" s="1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</row>
    <row r="5" spans="1:160" ht="3" customHeight="1">
      <c r="A5" s="1"/>
      <c r="B5" s="1"/>
      <c r="C5" s="1"/>
      <c r="D5" s="1"/>
      <c r="E5" s="1"/>
      <c r="F5" s="1"/>
      <c r="G5" s="1"/>
      <c r="H5" s="1"/>
      <c r="I5" s="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1"/>
      <c r="BW5" s="5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1"/>
      <c r="CZ5" s="1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</row>
    <row r="6" spans="1:160" ht="1.5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1"/>
      <c r="BW6" s="5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1"/>
      <c r="CZ6" s="1"/>
      <c r="DA6" s="4"/>
      <c r="DB6" s="4"/>
      <c r="DC6" s="4"/>
      <c r="DD6" s="4"/>
      <c r="DE6" s="4"/>
      <c r="DF6" s="4"/>
      <c r="DG6" s="4"/>
      <c r="DH6" s="4"/>
      <c r="DI6" s="6" t="s">
        <v>130</v>
      </c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</row>
    <row r="7" spans="1:160" ht="10.5" customHeight="1">
      <c r="A7" s="1"/>
      <c r="B7" s="1"/>
      <c r="C7" s="1"/>
      <c r="D7" s="1"/>
      <c r="E7" s="1"/>
      <c r="F7" s="1"/>
      <c r="G7" s="1"/>
      <c r="H7" s="1"/>
      <c r="I7" s="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1"/>
      <c r="BW7" s="5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1"/>
      <c r="CZ7" s="1"/>
      <c r="DA7" s="4"/>
      <c r="DB7" s="4"/>
      <c r="DC7" s="4"/>
      <c r="DD7" s="4"/>
      <c r="DE7" s="4"/>
      <c r="DF7" s="4"/>
      <c r="DG7" s="4"/>
      <c r="DH7" s="4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</row>
    <row r="8" spans="1:160" ht="1.5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1"/>
      <c r="BW8" s="5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4"/>
      <c r="DB8" s="4"/>
      <c r="DC8" s="4"/>
      <c r="DD8" s="4"/>
      <c r="DE8" s="4"/>
      <c r="DF8" s="4"/>
      <c r="DG8" s="4"/>
      <c r="DH8" s="4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</row>
    <row r="9" spans="1:160" ht="1.5" customHeight="1">
      <c r="A9" s="1"/>
      <c r="B9" s="1"/>
      <c r="C9" s="1"/>
      <c r="D9" s="1"/>
      <c r="E9" s="1"/>
      <c r="F9" s="1"/>
      <c r="G9" s="1"/>
      <c r="H9" s="1"/>
      <c r="I9" s="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1"/>
      <c r="BW9" s="5"/>
      <c r="BX9" s="7" t="s">
        <v>123</v>
      </c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8" t="s">
        <v>129</v>
      </c>
      <c r="CX9" s="8"/>
      <c r="CY9" s="1"/>
      <c r="CZ9" s="1"/>
      <c r="DA9" s="4"/>
      <c r="DB9" s="4"/>
      <c r="DC9" s="4"/>
      <c r="DD9" s="4"/>
      <c r="DE9" s="4"/>
      <c r="DF9" s="4"/>
      <c r="DG9" s="4"/>
      <c r="DH9" s="4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</row>
    <row r="10" spans="1:160" ht="1.5" customHeight="1">
      <c r="A10" s="1"/>
      <c r="B10" s="1"/>
      <c r="C10" s="1"/>
      <c r="D10" s="1"/>
      <c r="E10" s="1"/>
      <c r="F10" s="1"/>
      <c r="G10" s="1"/>
      <c r="H10" s="1"/>
      <c r="I10" s="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1"/>
      <c r="BW10" s="5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8"/>
      <c r="CX10" s="8"/>
      <c r="CY10" s="1"/>
      <c r="CZ10" s="1"/>
      <c r="DA10" s="4"/>
      <c r="DB10" s="4"/>
      <c r="DC10" s="4"/>
      <c r="DD10" s="4"/>
      <c r="DE10" s="4"/>
      <c r="DF10" s="4"/>
      <c r="DG10" s="4"/>
      <c r="DH10" s="4"/>
      <c r="DI10" s="9">
        <f>TODAY()</f>
        <v>46294.0</v>
      </c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</row>
    <row r="11" spans="1:160" ht="9" customHeight="1">
      <c r="A11" s="1"/>
      <c r="B11" s="1"/>
      <c r="C11" s="1"/>
      <c r="D11" s="1"/>
      <c r="E11" s="1"/>
      <c r="F11" s="1"/>
      <c r="G11" s="1"/>
      <c r="H11" s="1"/>
      <c r="I11" s="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1"/>
      <c r="BW11" s="5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8"/>
      <c r="CX11" s="8"/>
      <c r="CY11" s="1"/>
      <c r="CZ11" s="1"/>
      <c r="DA11" s="4"/>
      <c r="DB11" s="4"/>
      <c r="DC11" s="4"/>
      <c r="DD11" s="4"/>
      <c r="DE11" s="4"/>
      <c r="DF11" s="4"/>
      <c r="DG11" s="4"/>
      <c r="DH11" s="4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4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</row>
    <row r="12" spans="1:160" ht="6" customHeight="1">
      <c r="A12" s="1"/>
      <c r="B12" s="1"/>
      <c r="C12" s="1"/>
      <c r="D12" s="1"/>
      <c r="E12" s="1"/>
      <c r="F12" s="1"/>
      <c r="G12" s="1"/>
      <c r="H12" s="1"/>
      <c r="I12" s="1"/>
      <c r="J12" s="10" t="s">
        <v>127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"/>
      <c r="BW12" s="5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8"/>
      <c r="CX12" s="8"/>
      <c r="CY12" s="1"/>
      <c r="CZ12" s="1"/>
      <c r="DA12" s="4"/>
      <c r="DB12" s="4"/>
      <c r="DC12" s="4"/>
      <c r="DD12" s="4"/>
      <c r="DE12" s="4"/>
      <c r="DF12" s="4"/>
      <c r="DG12" s="4"/>
      <c r="DH12" s="4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4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</row>
    <row r="13" spans="1:160" ht="3" customHeight="1">
      <c r="A13" s="1"/>
      <c r="B13" s="1"/>
      <c r="C13" s="1"/>
      <c r="D13" s="1"/>
      <c r="E13" s="1"/>
      <c r="F13" s="1"/>
      <c r="G13" s="1"/>
      <c r="H13" s="1"/>
      <c r="I13" s="1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"/>
      <c r="BW13" s="5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8"/>
      <c r="CX13" s="8"/>
      <c r="CY13" s="1"/>
      <c r="CZ13" s="1"/>
      <c r="DA13" s="4"/>
      <c r="DB13" s="4"/>
      <c r="DC13" s="4"/>
      <c r="DD13" s="4"/>
      <c r="DE13" s="4"/>
      <c r="DF13" s="4"/>
      <c r="DG13" s="4"/>
      <c r="DH13" s="4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4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</row>
    <row r="14" spans="1:160" ht="6" customHeight="1">
      <c r="A14" s="1"/>
      <c r="B14" s="1"/>
      <c r="C14" s="1"/>
      <c r="D14" s="1"/>
      <c r="E14" s="1"/>
      <c r="F14" s="1"/>
      <c r="G14" s="1"/>
      <c r="H14" s="1"/>
      <c r="I14" s="1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"/>
      <c r="BW14" s="5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</row>
    <row r="15" spans="1:160" ht="3" customHeight="1">
      <c r="A15" s="1"/>
      <c r="B15" s="1"/>
      <c r="C15" s="1"/>
      <c r="D15" s="1"/>
      <c r="E15" s="1"/>
      <c r="F15" s="1"/>
      <c r="G15" s="1"/>
      <c r="H15" s="1"/>
      <c r="I15" s="1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</row>
    <row r="16" spans="1:160" ht="9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</row>
    <row r="17" spans="1:160" ht="9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</row>
    <row r="18" spans="1:160" ht="3" customHeight="1">
      <c r="A18" s="11"/>
      <c r="B18" s="11"/>
      <c r="C18" s="13"/>
      <c r="D18" s="13"/>
      <c r="E18" s="13"/>
      <c r="F18" s="13"/>
      <c r="G18" s="14" t="s">
        <v>131</v>
      </c>
      <c r="H18" s="14"/>
      <c r="I18" s="14"/>
      <c r="J18" s="14"/>
      <c r="K18" s="14"/>
      <c r="L18" s="14"/>
      <c r="M18" s="14"/>
      <c r="N18" s="14"/>
      <c r="O18" s="14"/>
      <c r="P18" s="14"/>
      <c r="Q18" s="11"/>
      <c r="R18" s="11"/>
      <c r="S18" s="11"/>
      <c r="T18" s="12"/>
      <c r="U18" s="12"/>
      <c r="V18" s="12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2"/>
      <c r="AN18" s="12"/>
      <c r="AO18" s="12"/>
      <c r="AP18" s="12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2"/>
      <c r="BN18" s="12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2"/>
      <c r="CH18" s="12"/>
      <c r="CI18" s="12"/>
      <c r="CJ18" s="12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2"/>
      <c r="DG18" s="12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2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12"/>
    </row>
    <row r="19" spans="1:160" ht="1.5" customHeight="1">
      <c r="A19" s="11"/>
      <c r="B19" s="11"/>
      <c r="C19" s="13"/>
      <c r="D19" s="13"/>
      <c r="E19" s="13"/>
      <c r="F19" s="13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1"/>
      <c r="R19" s="11"/>
      <c r="S19" s="11"/>
      <c r="T19" s="12"/>
      <c r="U19" s="12"/>
      <c r="V19" s="12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2"/>
      <c r="AN19" s="12"/>
      <c r="AO19" s="12"/>
      <c r="AP19" s="12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2"/>
      <c r="BN19" s="12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2"/>
      <c r="CH19" s="12"/>
      <c r="CI19" s="12"/>
      <c r="CJ19" s="12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2"/>
      <c r="DG19" s="12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2"/>
      <c r="ED19" s="20"/>
      <c r="EE19" s="20"/>
      <c r="EF19" s="20"/>
      <c r="EG19" s="20"/>
      <c r="EH19" s="20"/>
      <c r="EI19" s="21" t="s">
        <v>150</v>
      </c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0"/>
      <c r="FC19" s="20"/>
      <c r="FD19" s="12"/>
    </row>
    <row r="20" spans="1:160" ht="3" customHeight="1">
      <c r="A20" s="11"/>
      <c r="B20" s="11"/>
      <c r="C20" s="13"/>
      <c r="D20" s="13"/>
      <c r="E20" s="13"/>
      <c r="F20" s="13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1"/>
      <c r="R20" s="11"/>
      <c r="S20" s="11"/>
      <c r="T20" s="12"/>
      <c r="U20" s="12"/>
      <c r="V20" s="12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2"/>
      <c r="AN20" s="12"/>
      <c r="AO20" s="12"/>
      <c r="AP20" s="12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2"/>
      <c r="BN20" s="12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2"/>
      <c r="CH20" s="12"/>
      <c r="CI20" s="12"/>
      <c r="CJ20" s="12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2"/>
      <c r="DG20" s="12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2"/>
      <c r="ED20" s="20"/>
      <c r="EE20" s="20"/>
      <c r="EF20" s="20"/>
      <c r="EG20" s="20"/>
      <c r="EH20" s="20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0"/>
      <c r="FC20" s="20"/>
      <c r="FD20" s="12"/>
    </row>
    <row r="21" spans="1:160">
      <c r="A21" s="11"/>
      <c r="B21" s="11"/>
      <c r="C21" s="13"/>
      <c r="D21" s="13"/>
      <c r="E21" s="13"/>
      <c r="F21" s="13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1"/>
      <c r="R21" s="11"/>
      <c r="S21" s="11"/>
      <c r="T21" s="12"/>
      <c r="U21" s="12"/>
      <c r="V21" s="12"/>
      <c r="W21" s="15"/>
      <c r="X21" s="15"/>
      <c r="Y21" s="15"/>
      <c r="Z21" s="15"/>
      <c r="AA21" s="15"/>
      <c r="AB21" s="15"/>
      <c r="AC21" s="22" t="s">
        <v>140</v>
      </c>
      <c r="AD21" s="22"/>
      <c r="AE21" s="22"/>
      <c r="AF21" s="22"/>
      <c r="AG21" s="22"/>
      <c r="AH21" s="22"/>
      <c r="AI21" s="22"/>
      <c r="AJ21" s="22"/>
      <c r="AK21" s="22"/>
      <c r="AL21" s="15"/>
      <c r="AM21" s="12"/>
      <c r="AN21" s="12"/>
      <c r="AO21" s="12"/>
      <c r="AP21" s="12"/>
      <c r="AQ21" s="16"/>
      <c r="AR21" s="16"/>
      <c r="AS21" s="16"/>
      <c r="AT21" s="16"/>
      <c r="AU21" s="16"/>
      <c r="AV21" s="16"/>
      <c r="AW21" s="16"/>
      <c r="AX21" s="23" t="s">
        <v>141</v>
      </c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16"/>
      <c r="BJ21" s="16"/>
      <c r="BK21" s="16"/>
      <c r="BL21" s="16"/>
      <c r="BM21" s="12"/>
      <c r="BN21" s="12"/>
      <c r="BO21" s="17"/>
      <c r="BP21" s="17"/>
      <c r="BQ21" s="17"/>
      <c r="BR21" s="24" t="s">
        <v>142</v>
      </c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17"/>
      <c r="CF21" s="17"/>
      <c r="CG21" s="12"/>
      <c r="CH21" s="12"/>
      <c r="CI21" s="12"/>
      <c r="CJ21" s="12"/>
      <c r="CK21" s="18"/>
      <c r="CL21" s="18"/>
      <c r="CM21" s="18"/>
      <c r="CN21" s="18"/>
      <c r="CO21" s="25" t="s">
        <v>143</v>
      </c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18"/>
      <c r="DE21" s="18"/>
      <c r="DF21" s="12"/>
      <c r="DG21" s="12"/>
      <c r="DH21" s="19"/>
      <c r="DI21" s="19"/>
      <c r="DJ21" s="19"/>
      <c r="DK21" s="19"/>
      <c r="DL21" s="19"/>
      <c r="DM21" s="26" t="s">
        <v>144</v>
      </c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19"/>
      <c r="EC21" s="12"/>
      <c r="ED21" s="20"/>
      <c r="EE21" s="20"/>
      <c r="EF21" s="20"/>
      <c r="EG21" s="20"/>
      <c r="EH21" s="20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0"/>
      <c r="FC21" s="20"/>
      <c r="FD21" s="12"/>
    </row>
    <row r="22" spans="1:160" ht="1.5" customHeight="1">
      <c r="A22" s="11"/>
      <c r="B22" s="11"/>
      <c r="C22" s="13"/>
      <c r="D22" s="13"/>
      <c r="E22" s="13"/>
      <c r="F22" s="13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1"/>
      <c r="R22" s="11"/>
      <c r="S22" s="11"/>
      <c r="T22" s="12"/>
      <c r="U22" s="12"/>
      <c r="V22" s="12"/>
      <c r="W22" s="15"/>
      <c r="X22" s="15"/>
      <c r="Y22" s="15"/>
      <c r="Z22" s="15"/>
      <c r="AA22" s="15"/>
      <c r="AB22" s="15"/>
      <c r="AC22" s="27">
        <f>Calcoli!$B$64</f>
        <v>0</v>
      </c>
      <c r="AD22" s="27"/>
      <c r="AE22" s="27"/>
      <c r="AF22" s="27"/>
      <c r="AG22" s="27"/>
      <c r="AH22" s="27"/>
      <c r="AI22" s="27"/>
      <c r="AJ22" s="27"/>
      <c r="AK22" s="27"/>
      <c r="AL22" s="15"/>
      <c r="AM22" s="12"/>
      <c r="AN22" s="12"/>
      <c r="AO22" s="12"/>
      <c r="AP22" s="12"/>
      <c r="AQ22" s="16"/>
      <c r="AR22" s="16"/>
      <c r="AS22" s="16"/>
      <c r="AT22" s="16"/>
      <c r="AU22" s="16"/>
      <c r="AV22" s="16"/>
      <c r="AW22" s="16"/>
      <c r="AX22" s="28">
        <f>Calcoli!$B$65</f>
        <v>0</v>
      </c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16"/>
      <c r="BJ22" s="16"/>
      <c r="BK22" s="16"/>
      <c r="BL22" s="16"/>
      <c r="BM22" s="12"/>
      <c r="BN22" s="12"/>
      <c r="BO22" s="17"/>
      <c r="BP22" s="17"/>
      <c r="BQ22" s="17"/>
      <c r="BR22" s="29">
        <f>Calcoli!$B$66</f>
        <v>0</v>
      </c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17"/>
      <c r="CF22" s="17"/>
      <c r="CG22" s="12"/>
      <c r="CH22" s="12"/>
      <c r="CI22" s="12"/>
      <c r="CJ22" s="12"/>
      <c r="CK22" s="18"/>
      <c r="CL22" s="18"/>
      <c r="CM22" s="18"/>
      <c r="CN22" s="18"/>
      <c r="CO22" s="30">
        <f>Calcoli!$B$67</f>
        <v>0</v>
      </c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18"/>
      <c r="DE22" s="18"/>
      <c r="DF22" s="12"/>
      <c r="DG22" s="12"/>
      <c r="DH22" s="19"/>
      <c r="DI22" s="19"/>
      <c r="DJ22" s="19"/>
      <c r="DK22" s="19"/>
      <c r="DL22" s="19"/>
      <c r="DM22" s="31">
        <f>Calcoli!$B$68</f>
        <v>0</v>
      </c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19"/>
      <c r="EC22" s="12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12"/>
    </row>
    <row r="23" spans="1:160" ht="4.5" customHeight="1">
      <c r="A23" s="11"/>
      <c r="B23" s="11"/>
      <c r="C23" s="13"/>
      <c r="D23" s="13"/>
      <c r="E23" s="13"/>
      <c r="F23" s="13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1"/>
      <c r="R23" s="11"/>
      <c r="S23" s="11"/>
      <c r="T23" s="12"/>
      <c r="U23" s="12"/>
      <c r="V23" s="12"/>
      <c r="W23" s="15"/>
      <c r="X23" s="15"/>
      <c r="Y23" s="15"/>
      <c r="Z23" s="15"/>
      <c r="AA23" s="15"/>
      <c r="AB23" s="15"/>
      <c r="AC23" s="27"/>
      <c r="AD23" s="27"/>
      <c r="AE23" s="27"/>
      <c r="AF23" s="27"/>
      <c r="AG23" s="27"/>
      <c r="AH23" s="27"/>
      <c r="AI23" s="27"/>
      <c r="AJ23" s="27"/>
      <c r="AK23" s="27"/>
      <c r="AL23" s="15"/>
      <c r="AM23" s="12"/>
      <c r="AN23" s="12"/>
      <c r="AO23" s="12"/>
      <c r="AP23" s="12"/>
      <c r="AQ23" s="16"/>
      <c r="AR23" s="16"/>
      <c r="AS23" s="16"/>
      <c r="AT23" s="16"/>
      <c r="AU23" s="16"/>
      <c r="AV23" s="16"/>
      <c r="AW23" s="16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16"/>
      <c r="BJ23" s="16"/>
      <c r="BK23" s="16"/>
      <c r="BL23" s="16"/>
      <c r="BM23" s="12"/>
      <c r="BN23" s="12"/>
      <c r="BO23" s="17"/>
      <c r="BP23" s="17"/>
      <c r="BQ23" s="17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17"/>
      <c r="CF23" s="17"/>
      <c r="CG23" s="12"/>
      <c r="CH23" s="12"/>
      <c r="CI23" s="12"/>
      <c r="CJ23" s="12"/>
      <c r="CK23" s="18"/>
      <c r="CL23" s="18"/>
      <c r="CM23" s="18"/>
      <c r="CN23" s="18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18"/>
      <c r="DE23" s="18"/>
      <c r="DF23" s="12"/>
      <c r="DG23" s="12"/>
      <c r="DH23" s="19"/>
      <c r="DI23" s="19"/>
      <c r="DJ23" s="19"/>
      <c r="DK23" s="19"/>
      <c r="DL23" s="19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19"/>
      <c r="EC23" s="12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12"/>
    </row>
    <row r="24" spans="1:160" ht="4.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2"/>
      <c r="U24" s="12"/>
      <c r="V24" s="12"/>
      <c r="W24" s="15"/>
      <c r="X24" s="15"/>
      <c r="Y24" s="15"/>
      <c r="Z24" s="15"/>
      <c r="AA24" s="15"/>
      <c r="AB24" s="15"/>
      <c r="AC24" s="27"/>
      <c r="AD24" s="27"/>
      <c r="AE24" s="27"/>
      <c r="AF24" s="27"/>
      <c r="AG24" s="27"/>
      <c r="AH24" s="27"/>
      <c r="AI24" s="27"/>
      <c r="AJ24" s="27"/>
      <c r="AK24" s="27"/>
      <c r="AL24" s="15"/>
      <c r="AM24" s="12"/>
      <c r="AN24" s="12"/>
      <c r="AO24" s="12"/>
      <c r="AP24" s="12"/>
      <c r="AQ24" s="16"/>
      <c r="AR24" s="16"/>
      <c r="AS24" s="16"/>
      <c r="AT24" s="16"/>
      <c r="AU24" s="16"/>
      <c r="AV24" s="16"/>
      <c r="AW24" s="16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16"/>
      <c r="BJ24" s="16"/>
      <c r="BK24" s="16"/>
      <c r="BL24" s="16"/>
      <c r="BM24" s="12"/>
      <c r="BN24" s="12"/>
      <c r="BO24" s="17"/>
      <c r="BP24" s="17"/>
      <c r="BQ24" s="17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17"/>
      <c r="CF24" s="17"/>
      <c r="CG24" s="12"/>
      <c r="CH24" s="12"/>
      <c r="CI24" s="12"/>
      <c r="CJ24" s="12"/>
      <c r="CK24" s="18"/>
      <c r="CL24" s="18"/>
      <c r="CM24" s="18"/>
      <c r="CN24" s="18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18"/>
      <c r="DE24" s="18"/>
      <c r="DF24" s="12"/>
      <c r="DG24" s="12"/>
      <c r="DH24" s="19"/>
      <c r="DI24" s="19"/>
      <c r="DJ24" s="19"/>
      <c r="DK24" s="19"/>
      <c r="DL24" s="19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19"/>
      <c r="EC24" s="12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12"/>
    </row>
    <row r="25" spans="1:160" ht="1.5" customHeight="1">
      <c r="A25" s="11"/>
      <c r="B25" s="11"/>
      <c r="C25" s="32"/>
      <c r="D25" s="32"/>
      <c r="E25" s="32"/>
      <c r="F25" s="32"/>
      <c r="G25" s="33" t="s">
        <v>132</v>
      </c>
      <c r="H25" s="33"/>
      <c r="I25" s="33"/>
      <c r="J25" s="33"/>
      <c r="K25" s="33"/>
      <c r="L25" s="33"/>
      <c r="M25" s="33"/>
      <c r="N25" s="33"/>
      <c r="O25" s="33"/>
      <c r="P25" s="33"/>
      <c r="Q25" s="11"/>
      <c r="R25" s="11"/>
      <c r="S25" s="11"/>
      <c r="T25" s="12"/>
      <c r="U25" s="12"/>
      <c r="V25" s="12"/>
      <c r="W25" s="15"/>
      <c r="X25" s="15"/>
      <c r="Y25" s="15"/>
      <c r="Z25" s="15"/>
      <c r="AA25" s="15"/>
      <c r="AB25" s="15"/>
      <c r="AC25" s="27"/>
      <c r="AD25" s="27"/>
      <c r="AE25" s="27"/>
      <c r="AF25" s="27"/>
      <c r="AG25" s="27"/>
      <c r="AH25" s="27"/>
      <c r="AI25" s="27"/>
      <c r="AJ25" s="27"/>
      <c r="AK25" s="27"/>
      <c r="AL25" s="15"/>
      <c r="AM25" s="12"/>
      <c r="AN25" s="12"/>
      <c r="AO25" s="12"/>
      <c r="AP25" s="12"/>
      <c r="AQ25" s="16"/>
      <c r="AR25" s="16"/>
      <c r="AS25" s="16"/>
      <c r="AT25" s="16"/>
      <c r="AU25" s="16"/>
      <c r="AV25" s="16"/>
      <c r="AW25" s="16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16"/>
      <c r="BJ25" s="16"/>
      <c r="BK25" s="16"/>
      <c r="BL25" s="16"/>
      <c r="BM25" s="12"/>
      <c r="BN25" s="12"/>
      <c r="BO25" s="17"/>
      <c r="BP25" s="17"/>
      <c r="BQ25" s="17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17"/>
      <c r="CF25" s="17"/>
      <c r="CG25" s="12"/>
      <c r="CH25" s="12"/>
      <c r="CI25" s="12"/>
      <c r="CJ25" s="12"/>
      <c r="CK25" s="18"/>
      <c r="CL25" s="18"/>
      <c r="CM25" s="18"/>
      <c r="CN25" s="18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18"/>
      <c r="DE25" s="18"/>
      <c r="DF25" s="12"/>
      <c r="DG25" s="12"/>
      <c r="DH25" s="19"/>
      <c r="DI25" s="19"/>
      <c r="DJ25" s="19"/>
      <c r="DK25" s="19"/>
      <c r="DL25" s="19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19"/>
      <c r="EC25" s="12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12"/>
    </row>
    <row r="26" spans="1:160" ht="3" customHeight="1">
      <c r="A26" s="11"/>
      <c r="B26" s="11"/>
      <c r="C26" s="32"/>
      <c r="D26" s="32"/>
      <c r="E26" s="32"/>
      <c r="F26" s="32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11"/>
      <c r="R26" s="11"/>
      <c r="S26" s="11"/>
      <c r="T26" s="12"/>
      <c r="U26" s="12"/>
      <c r="V26" s="12"/>
      <c r="W26" s="15"/>
      <c r="X26" s="15"/>
      <c r="Y26" s="15"/>
      <c r="Z26" s="15"/>
      <c r="AA26" s="15"/>
      <c r="AB26" s="15"/>
      <c r="AC26" s="27"/>
      <c r="AD26" s="27"/>
      <c r="AE26" s="27"/>
      <c r="AF26" s="27"/>
      <c r="AG26" s="27"/>
      <c r="AH26" s="27"/>
      <c r="AI26" s="27"/>
      <c r="AJ26" s="27"/>
      <c r="AK26" s="27"/>
      <c r="AL26" s="15"/>
      <c r="AM26" s="12"/>
      <c r="AN26" s="12"/>
      <c r="AO26" s="12"/>
      <c r="AP26" s="12"/>
      <c r="AQ26" s="16"/>
      <c r="AR26" s="16"/>
      <c r="AS26" s="16"/>
      <c r="AT26" s="16"/>
      <c r="AU26" s="16"/>
      <c r="AV26" s="16"/>
      <c r="AW26" s="16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16"/>
      <c r="BJ26" s="16"/>
      <c r="BK26" s="16"/>
      <c r="BL26" s="16"/>
      <c r="BM26" s="12"/>
      <c r="BN26" s="12"/>
      <c r="BO26" s="17"/>
      <c r="BP26" s="17"/>
      <c r="BQ26" s="17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17"/>
      <c r="CF26" s="17"/>
      <c r="CG26" s="12"/>
      <c r="CH26" s="12"/>
      <c r="CI26" s="12"/>
      <c r="CJ26" s="12"/>
      <c r="CK26" s="18"/>
      <c r="CL26" s="18"/>
      <c r="CM26" s="18"/>
      <c r="CN26" s="18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18"/>
      <c r="DE26" s="18"/>
      <c r="DF26" s="12"/>
      <c r="DG26" s="12"/>
      <c r="DH26" s="19"/>
      <c r="DI26" s="19"/>
      <c r="DJ26" s="19"/>
      <c r="DK26" s="19"/>
      <c r="DL26" s="19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19"/>
      <c r="EC26" s="12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34" t="s">
        <v>151</v>
      </c>
      <c r="ER26" s="34"/>
      <c r="ES26" s="34"/>
      <c r="ET26" s="35" t="str">
        <f>"Utilizzo alto ("&amp;Calcoli!$B$94&amp;")"</f>
        <v>Utilizzo alto (0)</v>
      </c>
      <c r="EU26" s="35"/>
      <c r="EV26" s="35"/>
      <c r="EW26" s="35"/>
      <c r="EX26" s="35"/>
      <c r="EY26" s="35"/>
      <c r="EZ26" s="35"/>
      <c r="FA26" s="35"/>
      <c r="FB26" s="35"/>
      <c r="FC26" s="20"/>
      <c r="FD26" s="12"/>
    </row>
    <row r="27" spans="1:160" ht="9" customHeight="1">
      <c r="A27" s="11"/>
      <c r="B27" s="11"/>
      <c r="C27" s="32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11"/>
      <c r="R27" s="11"/>
      <c r="S27" s="11"/>
      <c r="T27" s="12"/>
      <c r="U27" s="12"/>
      <c r="V27" s="12"/>
      <c r="W27" s="15"/>
      <c r="X27" s="15"/>
      <c r="Y27" s="15"/>
      <c r="Z27" s="15"/>
      <c r="AA27" s="15"/>
      <c r="AB27" s="15"/>
      <c r="AC27" s="27"/>
      <c r="AD27" s="27"/>
      <c r="AE27" s="27"/>
      <c r="AF27" s="27"/>
      <c r="AG27" s="27"/>
      <c r="AH27" s="27"/>
      <c r="AI27" s="27"/>
      <c r="AJ27" s="27"/>
      <c r="AK27" s="27"/>
      <c r="AL27" s="15"/>
      <c r="AM27" s="12"/>
      <c r="AN27" s="12"/>
      <c r="AO27" s="12"/>
      <c r="AP27" s="12"/>
      <c r="AQ27" s="16"/>
      <c r="AR27" s="16"/>
      <c r="AS27" s="16"/>
      <c r="AT27" s="16"/>
      <c r="AU27" s="16"/>
      <c r="AV27" s="16"/>
      <c r="AW27" s="16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16"/>
      <c r="BJ27" s="16"/>
      <c r="BK27" s="16"/>
      <c r="BL27" s="16"/>
      <c r="BM27" s="12"/>
      <c r="BN27" s="12"/>
      <c r="BO27" s="17"/>
      <c r="BP27" s="17"/>
      <c r="BQ27" s="17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17"/>
      <c r="CF27" s="17"/>
      <c r="CG27" s="12"/>
      <c r="CH27" s="12"/>
      <c r="CI27" s="12"/>
      <c r="CJ27" s="12"/>
      <c r="CK27" s="18"/>
      <c r="CL27" s="18"/>
      <c r="CM27" s="18"/>
      <c r="CN27" s="18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18"/>
      <c r="DE27" s="18"/>
      <c r="DF27" s="12"/>
      <c r="DG27" s="12"/>
      <c r="DH27" s="19"/>
      <c r="DI27" s="19"/>
      <c r="DJ27" s="19"/>
      <c r="DK27" s="19"/>
      <c r="DL27" s="19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19"/>
      <c r="EC27" s="12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34"/>
      <c r="ER27" s="34"/>
      <c r="ES27" s="34"/>
      <c r="ET27" s="35"/>
      <c r="EU27" s="35"/>
      <c r="EV27" s="35"/>
      <c r="EW27" s="35"/>
      <c r="EX27" s="35"/>
      <c r="EY27" s="35"/>
      <c r="EZ27" s="35"/>
      <c r="FA27" s="35"/>
      <c r="FB27" s="35"/>
      <c r="FC27" s="20"/>
      <c r="FD27" s="12"/>
    </row>
    <row r="28" spans="1:160" ht="4.5" customHeight="1">
      <c r="A28" s="11"/>
      <c r="B28" s="11"/>
      <c r="C28" s="32"/>
      <c r="D28" s="32"/>
      <c r="E28" s="32"/>
      <c r="F28" s="32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11"/>
      <c r="R28" s="11"/>
      <c r="S28" s="11"/>
      <c r="T28" s="12"/>
      <c r="U28" s="12"/>
      <c r="V28" s="12"/>
      <c r="W28" s="15"/>
      <c r="X28" s="15"/>
      <c r="Y28" s="15"/>
      <c r="Z28" s="15"/>
      <c r="AA28" s="15"/>
      <c r="AB28" s="15"/>
      <c r="AC28" s="27"/>
      <c r="AD28" s="27"/>
      <c r="AE28" s="27"/>
      <c r="AF28" s="27"/>
      <c r="AG28" s="27"/>
      <c r="AH28" s="27"/>
      <c r="AI28" s="27"/>
      <c r="AJ28" s="27"/>
      <c r="AK28" s="27"/>
      <c r="AL28" s="15"/>
      <c r="AM28" s="12"/>
      <c r="AN28" s="12"/>
      <c r="AO28" s="12"/>
      <c r="AP28" s="12"/>
      <c r="AQ28" s="16"/>
      <c r="AR28" s="16"/>
      <c r="AS28" s="16"/>
      <c r="AT28" s="16"/>
      <c r="AU28" s="16"/>
      <c r="AV28" s="16"/>
      <c r="AW28" s="16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16"/>
      <c r="BJ28" s="16"/>
      <c r="BK28" s="16"/>
      <c r="BL28" s="16"/>
      <c r="BM28" s="12"/>
      <c r="BN28" s="12"/>
      <c r="BO28" s="17"/>
      <c r="BP28" s="17"/>
      <c r="BQ28" s="17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17"/>
      <c r="CF28" s="17"/>
      <c r="CG28" s="12"/>
      <c r="CH28" s="12"/>
      <c r="CI28" s="12"/>
      <c r="CJ28" s="12"/>
      <c r="CK28" s="18"/>
      <c r="CL28" s="18"/>
      <c r="CM28" s="18"/>
      <c r="CN28" s="18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18"/>
      <c r="DE28" s="18"/>
      <c r="DF28" s="12"/>
      <c r="DG28" s="12"/>
      <c r="DH28" s="19"/>
      <c r="DI28" s="19"/>
      <c r="DJ28" s="19"/>
      <c r="DK28" s="19"/>
      <c r="DL28" s="19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19"/>
      <c r="EC28" s="12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36" t="str">
        <f>"Magazzini &gt; "&amp;FIXED(N_Util*100,0)&amp;"%"</f>
        <v>Magazzini &gt; 80%</v>
      </c>
      <c r="EU28" s="36"/>
      <c r="EV28" s="36"/>
      <c r="EW28" s="36"/>
      <c r="EX28" s="36"/>
      <c r="EY28" s="36"/>
      <c r="EZ28" s="36"/>
      <c r="FA28" s="36"/>
      <c r="FB28" s="36"/>
      <c r="FC28" s="20"/>
      <c r="FD28" s="12"/>
    </row>
    <row r="29" spans="1:160" ht="1.5" customHeight="1">
      <c r="A29" s="11"/>
      <c r="B29" s="11"/>
      <c r="C29" s="32"/>
      <c r="D29" s="32"/>
      <c r="E29" s="32"/>
      <c r="F29" s="32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11"/>
      <c r="R29" s="11"/>
      <c r="S29" s="11"/>
      <c r="T29" s="12"/>
      <c r="U29" s="12"/>
      <c r="V29" s="12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2"/>
      <c r="AN29" s="12"/>
      <c r="AO29" s="12"/>
      <c r="AP29" s="12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2"/>
      <c r="BN29" s="12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2"/>
      <c r="CH29" s="12"/>
      <c r="CI29" s="12"/>
      <c r="CJ29" s="12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2"/>
      <c r="DG29" s="12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2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36"/>
      <c r="EU29" s="36"/>
      <c r="EV29" s="36"/>
      <c r="EW29" s="36"/>
      <c r="EX29" s="36"/>
      <c r="EY29" s="36"/>
      <c r="EZ29" s="36"/>
      <c r="FA29" s="36"/>
      <c r="FB29" s="36"/>
      <c r="FC29" s="20"/>
      <c r="FD29" s="12"/>
    </row>
    <row r="30" spans="1:160" ht="4.5" customHeight="1">
      <c r="A30" s="11"/>
      <c r="B30" s="11"/>
      <c r="C30" s="32"/>
      <c r="D30" s="32"/>
      <c r="E30" s="32"/>
      <c r="F30" s="32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11"/>
      <c r="R30" s="11"/>
      <c r="S30" s="11"/>
      <c r="T30" s="12"/>
      <c r="U30" s="12"/>
      <c r="V30" s="12"/>
      <c r="W30" s="15"/>
      <c r="X30" s="15"/>
      <c r="Y30" s="15"/>
      <c r="Z30" s="15"/>
      <c r="AA30" s="15"/>
      <c r="AB30" s="15"/>
      <c r="AC30" s="37">
        <f>IF(ISNUMBER(Calcoli!$B$86),IF(Calcoli!$B$86&gt;0,"▲",IF(Calcoli!$B$86&lt;0,"▼","■")),"")</f>
        <v/>
      </c>
      <c r="AD30" s="37"/>
      <c r="AE30" s="38" t="str">
        <f>IF(ISNUMBER(Calcoli!$B$86),Calcoli!$B$86,"n.d.")</f>
        <v>n.d.</v>
      </c>
      <c r="AF30" s="38"/>
      <c r="AG30" s="38"/>
      <c r="AH30" s="38"/>
      <c r="AI30" s="38"/>
      <c r="AJ30" s="38"/>
      <c r="AK30" s="38"/>
      <c r="AL30" s="15"/>
      <c r="AM30" s="12"/>
      <c r="AN30" s="12"/>
      <c r="AO30" s="12"/>
      <c r="AP30" s="12"/>
      <c r="AQ30" s="16"/>
      <c r="AR30" s="16"/>
      <c r="AS30" s="16"/>
      <c r="AT30" s="16"/>
      <c r="AU30" s="16"/>
      <c r="AV30" s="16"/>
      <c r="AW30" s="16"/>
      <c r="AX30" s="39">
        <f>IF(ISNUMBER(Calcoli!$B$87),IF(Calcoli!$B$87&gt;0,"▲",IF(Calcoli!$B$87&lt;0,"▼","■")),"")</f>
        <v/>
      </c>
      <c r="AY30" s="39"/>
      <c r="AZ30" s="40" t="str">
        <f>IF(ISNUMBER(Calcoli!$B$87),Calcoli!$B$87,"n.d.")</f>
        <v>n.d.</v>
      </c>
      <c r="BA30" s="40"/>
      <c r="BB30" s="40"/>
      <c r="BC30" s="40"/>
      <c r="BD30" s="40"/>
      <c r="BE30" s="40"/>
      <c r="BF30" s="40"/>
      <c r="BG30" s="40"/>
      <c r="BH30" s="40"/>
      <c r="BI30" s="16"/>
      <c r="BJ30" s="16"/>
      <c r="BK30" s="16"/>
      <c r="BL30" s="16"/>
      <c r="BM30" s="12"/>
      <c r="BN30" s="12"/>
      <c r="BO30" s="17"/>
      <c r="BP30" s="17"/>
      <c r="BQ30" s="17"/>
      <c r="BR30" s="41">
        <f>IF(ISNUMBER(Calcoli!$B$88),IF(Calcoli!$B$88&gt;0,"▲",IF(Calcoli!$B$88&lt;0,"▼","■")),"")</f>
        <v/>
      </c>
      <c r="BS30" s="41"/>
      <c r="BT30" s="42" t="str">
        <f>IF(ISNUMBER(Calcoli!$B$88),Calcoli!$B$88,"n.d.")</f>
        <v>n.d.</v>
      </c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17"/>
      <c r="CF30" s="17"/>
      <c r="CG30" s="12"/>
      <c r="CH30" s="12"/>
      <c r="CI30" s="12"/>
      <c r="CJ30" s="12"/>
      <c r="CK30" s="18"/>
      <c r="CL30" s="18"/>
      <c r="CM30" s="18"/>
      <c r="CN30" s="18"/>
      <c r="CO30" s="43">
        <f>IF(ISNUMBER(Calcoli!$B$89),IF(Calcoli!$B$89&gt;0,"▲",IF(Calcoli!$B$89&lt;0,"▼","■")),"")</f>
        <v/>
      </c>
      <c r="CP30" s="43"/>
      <c r="CQ30" s="44" t="str">
        <f>IF(ISNUMBER(Calcoli!$B$89),Calcoli!$B$89,"n.d.")</f>
        <v>n.d.</v>
      </c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18"/>
      <c r="DE30" s="18"/>
      <c r="DF30" s="12"/>
      <c r="DG30" s="12"/>
      <c r="DH30" s="19"/>
      <c r="DI30" s="19"/>
      <c r="DJ30" s="19"/>
      <c r="DK30" s="19"/>
      <c r="DL30" s="19"/>
      <c r="DM30" s="45">
        <f>IF(ISNUMBER(Calcoli!$B$90),IF(Calcoli!$B$90&gt;0,"▲",IF(Calcoli!$B$90&lt;0,"▼","■")),"")</f>
        <v/>
      </c>
      <c r="DN30" s="46" t="str">
        <f>IF(ISNUMBER(Calcoli!$B$90),Calcoli!$B$90,"n.d.")</f>
        <v>n.d.</v>
      </c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19"/>
      <c r="EC30" s="12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36"/>
      <c r="EU30" s="36"/>
      <c r="EV30" s="36"/>
      <c r="EW30" s="36"/>
      <c r="EX30" s="36"/>
      <c r="EY30" s="36"/>
      <c r="EZ30" s="36"/>
      <c r="FA30" s="36"/>
      <c r="FB30" s="36"/>
      <c r="FC30" s="20"/>
      <c r="FD30" s="12"/>
    </row>
    <row r="31" spans="1:160" ht="4.5" customHeight="1">
      <c r="A31" s="11"/>
      <c r="B31" s="11"/>
      <c r="C31" s="32"/>
      <c r="D31" s="32"/>
      <c r="E31" s="32"/>
      <c r="F31" s="32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11"/>
      <c r="R31" s="11"/>
      <c r="S31" s="11"/>
      <c r="T31" s="12"/>
      <c r="U31" s="12"/>
      <c r="V31" s="12"/>
      <c r="W31" s="15"/>
      <c r="X31" s="15"/>
      <c r="Y31" s="15"/>
      <c r="Z31" s="15"/>
      <c r="AA31" s="15"/>
      <c r="AB31" s="15"/>
      <c r="AC31" s="37"/>
      <c r="AD31" s="37"/>
      <c r="AE31" s="38"/>
      <c r="AF31" s="38"/>
      <c r="AG31" s="38"/>
      <c r="AH31" s="38"/>
      <c r="AI31" s="38"/>
      <c r="AJ31" s="38"/>
      <c r="AK31" s="38"/>
      <c r="AL31" s="15"/>
      <c r="AM31" s="12"/>
      <c r="AN31" s="12"/>
      <c r="AO31" s="12"/>
      <c r="AP31" s="12"/>
      <c r="AQ31" s="16"/>
      <c r="AR31" s="16"/>
      <c r="AS31" s="16"/>
      <c r="AT31" s="16"/>
      <c r="AU31" s="16"/>
      <c r="AV31" s="16"/>
      <c r="AW31" s="16"/>
      <c r="AX31" s="39"/>
      <c r="AY31" s="39"/>
      <c r="AZ31" s="40"/>
      <c r="BA31" s="40"/>
      <c r="BB31" s="40"/>
      <c r="BC31" s="40"/>
      <c r="BD31" s="40"/>
      <c r="BE31" s="40"/>
      <c r="BF31" s="40"/>
      <c r="BG31" s="40"/>
      <c r="BH31" s="40"/>
      <c r="BI31" s="16"/>
      <c r="BJ31" s="16"/>
      <c r="BK31" s="16"/>
      <c r="BL31" s="16"/>
      <c r="BM31" s="12"/>
      <c r="BN31" s="12"/>
      <c r="BO31" s="17"/>
      <c r="BP31" s="17"/>
      <c r="BQ31" s="17"/>
      <c r="BR31" s="41"/>
      <c r="BS31" s="41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17"/>
      <c r="CF31" s="17"/>
      <c r="CG31" s="12"/>
      <c r="CH31" s="12"/>
      <c r="CI31" s="12"/>
      <c r="CJ31" s="12"/>
      <c r="CK31" s="18"/>
      <c r="CL31" s="18"/>
      <c r="CM31" s="18"/>
      <c r="CN31" s="18"/>
      <c r="CO31" s="43"/>
      <c r="CP31" s="43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18"/>
      <c r="DE31" s="18"/>
      <c r="DF31" s="12"/>
      <c r="DG31" s="12"/>
      <c r="DH31" s="19"/>
      <c r="DI31" s="19"/>
      <c r="DJ31" s="19"/>
      <c r="DK31" s="19"/>
      <c r="DL31" s="19"/>
      <c r="DM31" s="45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19"/>
      <c r="EC31" s="12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36"/>
      <c r="EU31" s="36"/>
      <c r="EV31" s="36"/>
      <c r="EW31" s="36"/>
      <c r="EX31" s="36"/>
      <c r="EY31" s="36"/>
      <c r="EZ31" s="36"/>
      <c r="FA31" s="36"/>
      <c r="FB31" s="36"/>
      <c r="FC31" s="20"/>
      <c r="FD31" s="12"/>
    </row>
    <row r="32" spans="1:160" ht="1.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2"/>
      <c r="U32" s="12"/>
      <c r="V32" s="12"/>
      <c r="W32" s="15"/>
      <c r="X32" s="15"/>
      <c r="Y32" s="15"/>
      <c r="Z32" s="15"/>
      <c r="AA32" s="15"/>
      <c r="AB32" s="15"/>
      <c r="AC32" s="37"/>
      <c r="AD32" s="37"/>
      <c r="AE32" s="38"/>
      <c r="AF32" s="38"/>
      <c r="AG32" s="38"/>
      <c r="AH32" s="38"/>
      <c r="AI32" s="38"/>
      <c r="AJ32" s="38"/>
      <c r="AK32" s="38"/>
      <c r="AL32" s="15"/>
      <c r="AM32" s="12"/>
      <c r="AN32" s="12"/>
      <c r="AO32" s="12"/>
      <c r="AP32" s="12"/>
      <c r="AQ32" s="16"/>
      <c r="AR32" s="16"/>
      <c r="AS32" s="16"/>
      <c r="AT32" s="16"/>
      <c r="AU32" s="16"/>
      <c r="AV32" s="16"/>
      <c r="AW32" s="16"/>
      <c r="AX32" s="39"/>
      <c r="AY32" s="39"/>
      <c r="AZ32" s="40"/>
      <c r="BA32" s="40"/>
      <c r="BB32" s="40"/>
      <c r="BC32" s="40"/>
      <c r="BD32" s="40"/>
      <c r="BE32" s="40"/>
      <c r="BF32" s="40"/>
      <c r="BG32" s="40"/>
      <c r="BH32" s="40"/>
      <c r="BI32" s="16"/>
      <c r="BJ32" s="16"/>
      <c r="BK32" s="16"/>
      <c r="BL32" s="16"/>
      <c r="BM32" s="12"/>
      <c r="BN32" s="12"/>
      <c r="BO32" s="17"/>
      <c r="BP32" s="17"/>
      <c r="BQ32" s="17"/>
      <c r="BR32" s="41"/>
      <c r="BS32" s="41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17"/>
      <c r="CF32" s="17"/>
      <c r="CG32" s="12"/>
      <c r="CH32" s="12"/>
      <c r="CI32" s="12"/>
      <c r="CJ32" s="12"/>
      <c r="CK32" s="18"/>
      <c r="CL32" s="18"/>
      <c r="CM32" s="18"/>
      <c r="CN32" s="18"/>
      <c r="CO32" s="43"/>
      <c r="CP32" s="43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18"/>
      <c r="DE32" s="18"/>
      <c r="DF32" s="12"/>
      <c r="DG32" s="12"/>
      <c r="DH32" s="19"/>
      <c r="DI32" s="19"/>
      <c r="DJ32" s="19"/>
      <c r="DK32" s="19"/>
      <c r="DL32" s="19"/>
      <c r="DM32" s="45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19"/>
      <c r="EC32" s="12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36"/>
      <c r="EU32" s="36"/>
      <c r="EV32" s="36"/>
      <c r="EW32" s="36"/>
      <c r="EX32" s="36"/>
      <c r="EY32" s="36"/>
      <c r="EZ32" s="36"/>
      <c r="FA32" s="36"/>
      <c r="FB32" s="36"/>
      <c r="FC32" s="20"/>
      <c r="FD32" s="12"/>
    </row>
    <row r="33" spans="1:160" ht="1.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2"/>
      <c r="U33" s="12"/>
      <c r="V33" s="12"/>
      <c r="W33" s="15"/>
      <c r="X33" s="15"/>
      <c r="Y33" s="15"/>
      <c r="Z33" s="15"/>
      <c r="AA33" s="15"/>
      <c r="AB33" s="15"/>
      <c r="AC33" s="37"/>
      <c r="AD33" s="37"/>
      <c r="AE33" s="38"/>
      <c r="AF33" s="38"/>
      <c r="AG33" s="38"/>
      <c r="AH33" s="38"/>
      <c r="AI33" s="38"/>
      <c r="AJ33" s="38"/>
      <c r="AK33" s="38"/>
      <c r="AL33" s="15"/>
      <c r="AM33" s="12"/>
      <c r="AN33" s="12"/>
      <c r="AO33" s="12"/>
      <c r="AP33" s="12"/>
      <c r="AQ33" s="16"/>
      <c r="AR33" s="16"/>
      <c r="AS33" s="16"/>
      <c r="AT33" s="16"/>
      <c r="AU33" s="16"/>
      <c r="AV33" s="16"/>
      <c r="AW33" s="16"/>
      <c r="AX33" s="39"/>
      <c r="AY33" s="39"/>
      <c r="AZ33" s="40"/>
      <c r="BA33" s="40"/>
      <c r="BB33" s="40"/>
      <c r="BC33" s="40"/>
      <c r="BD33" s="40"/>
      <c r="BE33" s="40"/>
      <c r="BF33" s="40"/>
      <c r="BG33" s="40"/>
      <c r="BH33" s="40"/>
      <c r="BI33" s="16"/>
      <c r="BJ33" s="16"/>
      <c r="BK33" s="16"/>
      <c r="BL33" s="16"/>
      <c r="BM33" s="12"/>
      <c r="BN33" s="12"/>
      <c r="BO33" s="17"/>
      <c r="BP33" s="17"/>
      <c r="BQ33" s="17"/>
      <c r="BR33" s="41"/>
      <c r="BS33" s="41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17"/>
      <c r="CF33" s="17"/>
      <c r="CG33" s="12"/>
      <c r="CH33" s="12"/>
      <c r="CI33" s="12"/>
      <c r="CJ33" s="12"/>
      <c r="CK33" s="18"/>
      <c r="CL33" s="18"/>
      <c r="CM33" s="18"/>
      <c r="CN33" s="18"/>
      <c r="CO33" s="43"/>
      <c r="CP33" s="43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18"/>
      <c r="DE33" s="18"/>
      <c r="DF33" s="12"/>
      <c r="DG33" s="12"/>
      <c r="DH33" s="19"/>
      <c r="DI33" s="19"/>
      <c r="DJ33" s="19"/>
      <c r="DK33" s="19"/>
      <c r="DL33" s="19"/>
      <c r="DM33" s="45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19"/>
      <c r="EC33" s="12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12"/>
    </row>
    <row r="34" spans="1:160" ht="1.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2"/>
      <c r="U34" s="12"/>
      <c r="V34" s="12"/>
      <c r="W34" s="15"/>
      <c r="X34" s="15"/>
      <c r="Y34" s="15"/>
      <c r="Z34" s="15"/>
      <c r="AA34" s="15"/>
      <c r="AB34" s="15"/>
      <c r="AC34" s="37"/>
      <c r="AD34" s="37"/>
      <c r="AE34" s="38"/>
      <c r="AF34" s="38"/>
      <c r="AG34" s="38"/>
      <c r="AH34" s="38"/>
      <c r="AI34" s="38"/>
      <c r="AJ34" s="38"/>
      <c r="AK34" s="38"/>
      <c r="AL34" s="15"/>
      <c r="AM34" s="12"/>
      <c r="AN34" s="12"/>
      <c r="AO34" s="12"/>
      <c r="AP34" s="12"/>
      <c r="AQ34" s="16"/>
      <c r="AR34" s="16"/>
      <c r="AS34" s="16"/>
      <c r="AT34" s="16"/>
      <c r="AU34" s="16"/>
      <c r="AV34" s="16"/>
      <c r="AW34" s="16"/>
      <c r="AX34" s="39"/>
      <c r="AY34" s="39"/>
      <c r="AZ34" s="40"/>
      <c r="BA34" s="40"/>
      <c r="BB34" s="40"/>
      <c r="BC34" s="40"/>
      <c r="BD34" s="40"/>
      <c r="BE34" s="40"/>
      <c r="BF34" s="40"/>
      <c r="BG34" s="40"/>
      <c r="BH34" s="40"/>
      <c r="BI34" s="16"/>
      <c r="BJ34" s="16"/>
      <c r="BK34" s="16"/>
      <c r="BL34" s="16"/>
      <c r="BM34" s="12"/>
      <c r="BN34" s="12"/>
      <c r="BO34" s="17"/>
      <c r="BP34" s="17"/>
      <c r="BQ34" s="17"/>
      <c r="BR34" s="41"/>
      <c r="BS34" s="41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17"/>
      <c r="CF34" s="17"/>
      <c r="CG34" s="12"/>
      <c r="CH34" s="12"/>
      <c r="CI34" s="12"/>
      <c r="CJ34" s="12"/>
      <c r="CK34" s="18"/>
      <c r="CL34" s="18"/>
      <c r="CM34" s="18"/>
      <c r="CN34" s="18"/>
      <c r="CO34" s="43"/>
      <c r="CP34" s="43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18"/>
      <c r="DE34" s="18"/>
      <c r="DF34" s="12"/>
      <c r="DG34" s="12"/>
      <c r="DH34" s="19"/>
      <c r="DI34" s="19"/>
      <c r="DJ34" s="19"/>
      <c r="DK34" s="19"/>
      <c r="DL34" s="19"/>
      <c r="DM34" s="45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19"/>
      <c r="EC34" s="12"/>
      <c r="ED34" s="20"/>
      <c r="EE34" s="20"/>
      <c r="EF34" s="20"/>
      <c r="EG34" s="20"/>
      <c r="EH34" s="20"/>
      <c r="EI34" s="47" t="s">
        <v>16</v>
      </c>
      <c r="EJ34" s="47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12"/>
    </row>
    <row r="35" spans="1:160" ht="4.5" customHeight="1">
      <c r="A35" s="11"/>
      <c r="B35" s="11"/>
      <c r="C35" s="32"/>
      <c r="D35" s="32"/>
      <c r="E35" s="32"/>
      <c r="F35" s="32"/>
      <c r="G35" s="33" t="s">
        <v>133</v>
      </c>
      <c r="H35" s="33"/>
      <c r="I35" s="33"/>
      <c r="J35" s="33"/>
      <c r="K35" s="33"/>
      <c r="L35" s="33"/>
      <c r="M35" s="33"/>
      <c r="N35" s="33"/>
      <c r="O35" s="33"/>
      <c r="P35" s="33"/>
      <c r="Q35" s="11"/>
      <c r="R35" s="11"/>
      <c r="S35" s="11"/>
      <c r="T35" s="12"/>
      <c r="U35" s="12"/>
      <c r="V35" s="12"/>
      <c r="W35" s="15"/>
      <c r="X35" s="15"/>
      <c r="Y35" s="15"/>
      <c r="Z35" s="15"/>
      <c r="AA35" s="15"/>
      <c r="AB35" s="15"/>
      <c r="AC35" s="15"/>
      <c r="AD35" s="15"/>
      <c r="AE35" s="48" t="str">
        <f>Calcoli!$B$91</f>
        <v>Dic-26 vs Nov-26</v>
      </c>
      <c r="AF35" s="48"/>
      <c r="AG35" s="48"/>
      <c r="AH35" s="48"/>
      <c r="AI35" s="48"/>
      <c r="AJ35" s="48"/>
      <c r="AK35" s="48"/>
      <c r="AL35" s="15"/>
      <c r="AM35" s="12"/>
      <c r="AN35" s="12"/>
      <c r="AO35" s="12"/>
      <c r="AP35" s="12"/>
      <c r="AQ35" s="16"/>
      <c r="AR35" s="16"/>
      <c r="AS35" s="16"/>
      <c r="AT35" s="16"/>
      <c r="AU35" s="16"/>
      <c r="AV35" s="16"/>
      <c r="AW35" s="16"/>
      <c r="AX35" s="16"/>
      <c r="AY35" s="16"/>
      <c r="AZ35" s="49" t="str">
        <f>Calcoli!$B$91</f>
        <v>Dic-26 vs Nov-26</v>
      </c>
      <c r="BA35" s="49"/>
      <c r="BB35" s="49"/>
      <c r="BC35" s="49"/>
      <c r="BD35" s="49"/>
      <c r="BE35" s="49"/>
      <c r="BF35" s="49"/>
      <c r="BG35" s="49"/>
      <c r="BH35" s="49"/>
      <c r="BI35" s="16"/>
      <c r="BJ35" s="16"/>
      <c r="BK35" s="16"/>
      <c r="BL35" s="16"/>
      <c r="BM35" s="12"/>
      <c r="BN35" s="12"/>
      <c r="BO35" s="17"/>
      <c r="BP35" s="17"/>
      <c r="BQ35" s="17"/>
      <c r="BR35" s="17"/>
      <c r="BS35" s="17"/>
      <c r="BT35" s="50" t="str">
        <f>Calcoli!$B$91</f>
        <v>Dic-26 vs Nov-26</v>
      </c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17"/>
      <c r="CF35" s="17"/>
      <c r="CG35" s="12"/>
      <c r="CH35" s="12"/>
      <c r="CI35" s="12"/>
      <c r="CJ35" s="12"/>
      <c r="CK35" s="18"/>
      <c r="CL35" s="18"/>
      <c r="CM35" s="18"/>
      <c r="CN35" s="18"/>
      <c r="CO35" s="18"/>
      <c r="CP35" s="18"/>
      <c r="CQ35" s="51" t="str">
        <f>Calcoli!$B$91</f>
        <v>Dic-26 vs Nov-26</v>
      </c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18"/>
      <c r="DE35" s="18"/>
      <c r="DF35" s="12"/>
      <c r="DG35" s="12"/>
      <c r="DH35" s="19"/>
      <c r="DI35" s="19"/>
      <c r="DJ35" s="19"/>
      <c r="DK35" s="19"/>
      <c r="DL35" s="19"/>
      <c r="DM35" s="19"/>
      <c r="DN35" s="52" t="str">
        <f>Calcoli!$B$91</f>
        <v>Dic-26 vs Nov-26</v>
      </c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19"/>
      <c r="EC35" s="12"/>
      <c r="ED35" s="20"/>
      <c r="EE35" s="20"/>
      <c r="EF35" s="20"/>
      <c r="EG35" s="20"/>
      <c r="EH35" s="20"/>
      <c r="EI35" s="47"/>
      <c r="EJ35" s="47"/>
      <c r="EK35" s="20"/>
      <c r="EL35" s="20"/>
      <c r="EM35" s="20"/>
      <c r="EN35" s="20"/>
      <c r="EO35" s="20"/>
      <c r="EP35" s="20"/>
      <c r="EQ35" s="53" t="s">
        <v>151</v>
      </c>
      <c r="ER35" s="53"/>
      <c r="ES35" s="53"/>
      <c r="ET35" s="35" t="str">
        <f>"Danni elevati ("&amp;Calcoli!$B$95&amp;")"</f>
        <v>Danni elevati (0)</v>
      </c>
      <c r="EU35" s="35"/>
      <c r="EV35" s="35"/>
      <c r="EW35" s="35"/>
      <c r="EX35" s="35"/>
      <c r="EY35" s="35"/>
      <c r="EZ35" s="35"/>
      <c r="FA35" s="35"/>
      <c r="FB35" s="35"/>
      <c r="FC35" s="20"/>
      <c r="FD35" s="12"/>
    </row>
    <row r="36" spans="1:160" ht="4.5" customHeight="1">
      <c r="A36" s="11"/>
      <c r="B36" s="11"/>
      <c r="C36" s="32"/>
      <c r="D36" s="32"/>
      <c r="E36" s="32"/>
      <c r="F36" s="32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11"/>
      <c r="R36" s="11"/>
      <c r="S36" s="11"/>
      <c r="T36" s="12"/>
      <c r="U36" s="12"/>
      <c r="V36" s="12"/>
      <c r="W36" s="15"/>
      <c r="X36" s="15"/>
      <c r="Y36" s="15"/>
      <c r="Z36" s="15"/>
      <c r="AA36" s="15"/>
      <c r="AB36" s="15"/>
      <c r="AC36" s="15"/>
      <c r="AD36" s="15"/>
      <c r="AE36" s="48"/>
      <c r="AF36" s="48"/>
      <c r="AG36" s="48"/>
      <c r="AH36" s="48"/>
      <c r="AI36" s="48"/>
      <c r="AJ36" s="48"/>
      <c r="AK36" s="48"/>
      <c r="AL36" s="15"/>
      <c r="AM36" s="12"/>
      <c r="AN36" s="12"/>
      <c r="AO36" s="12"/>
      <c r="AP36" s="12"/>
      <c r="AQ36" s="16"/>
      <c r="AR36" s="16"/>
      <c r="AS36" s="16"/>
      <c r="AT36" s="16"/>
      <c r="AU36" s="16"/>
      <c r="AV36" s="16"/>
      <c r="AW36" s="16"/>
      <c r="AX36" s="16"/>
      <c r="AY36" s="16"/>
      <c r="AZ36" s="49"/>
      <c r="BA36" s="49"/>
      <c r="BB36" s="49"/>
      <c r="BC36" s="49"/>
      <c r="BD36" s="49"/>
      <c r="BE36" s="49"/>
      <c r="BF36" s="49"/>
      <c r="BG36" s="49"/>
      <c r="BH36" s="49"/>
      <c r="BI36" s="16"/>
      <c r="BJ36" s="16"/>
      <c r="BK36" s="16"/>
      <c r="BL36" s="16"/>
      <c r="BM36" s="12"/>
      <c r="BN36" s="12"/>
      <c r="BO36" s="17"/>
      <c r="BP36" s="17"/>
      <c r="BQ36" s="17"/>
      <c r="BR36" s="17"/>
      <c r="BS36" s="17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17"/>
      <c r="CF36" s="17"/>
      <c r="CG36" s="12"/>
      <c r="CH36" s="12"/>
      <c r="CI36" s="12"/>
      <c r="CJ36" s="12"/>
      <c r="CK36" s="18"/>
      <c r="CL36" s="18"/>
      <c r="CM36" s="18"/>
      <c r="CN36" s="18"/>
      <c r="CO36" s="18"/>
      <c r="CP36" s="18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18"/>
      <c r="DE36" s="18"/>
      <c r="DF36" s="12"/>
      <c r="DG36" s="12"/>
      <c r="DH36" s="19"/>
      <c r="DI36" s="19"/>
      <c r="DJ36" s="19"/>
      <c r="DK36" s="19"/>
      <c r="DL36" s="19"/>
      <c r="DM36" s="19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19"/>
      <c r="EC36" s="12"/>
      <c r="ED36" s="20"/>
      <c r="EE36" s="20"/>
      <c r="EF36" s="20"/>
      <c r="EG36" s="20"/>
      <c r="EH36" s="20"/>
      <c r="EI36" s="47"/>
      <c r="EJ36" s="47"/>
      <c r="EK36" s="20"/>
      <c r="EL36" s="20"/>
      <c r="EM36" s="20"/>
      <c r="EN36" s="20"/>
      <c r="EO36" s="20"/>
      <c r="EP36" s="20"/>
      <c r="EQ36" s="53"/>
      <c r="ER36" s="53"/>
      <c r="ES36" s="53"/>
      <c r="ET36" s="35"/>
      <c r="EU36" s="35"/>
      <c r="EV36" s="35"/>
      <c r="EW36" s="35"/>
      <c r="EX36" s="35"/>
      <c r="EY36" s="35"/>
      <c r="EZ36" s="35"/>
      <c r="FA36" s="35"/>
      <c r="FB36" s="35"/>
      <c r="FC36" s="20"/>
      <c r="FD36" s="12"/>
    </row>
    <row r="37" spans="1:160" ht="3" customHeight="1">
      <c r="A37" s="11"/>
      <c r="B37" s="11"/>
      <c r="C37" s="32"/>
      <c r="D37" s="32"/>
      <c r="E37" s="32"/>
      <c r="F37" s="32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11"/>
      <c r="R37" s="11"/>
      <c r="S37" s="11"/>
      <c r="T37" s="12"/>
      <c r="U37" s="12"/>
      <c r="V37" s="12"/>
      <c r="W37" s="15"/>
      <c r="X37" s="15"/>
      <c r="Y37" s="15"/>
      <c r="Z37" s="15"/>
      <c r="AA37" s="15"/>
      <c r="AB37" s="15"/>
      <c r="AC37" s="15"/>
      <c r="AD37" s="15"/>
      <c r="AE37" s="48"/>
      <c r="AF37" s="48"/>
      <c r="AG37" s="48"/>
      <c r="AH37" s="48"/>
      <c r="AI37" s="48"/>
      <c r="AJ37" s="48"/>
      <c r="AK37" s="48"/>
      <c r="AL37" s="15"/>
      <c r="AM37" s="12"/>
      <c r="AN37" s="12"/>
      <c r="AO37" s="12"/>
      <c r="AP37" s="12"/>
      <c r="AQ37" s="16"/>
      <c r="AR37" s="16"/>
      <c r="AS37" s="16"/>
      <c r="AT37" s="16"/>
      <c r="AU37" s="16"/>
      <c r="AV37" s="16"/>
      <c r="AW37" s="16"/>
      <c r="AX37" s="16"/>
      <c r="AY37" s="16"/>
      <c r="AZ37" s="49"/>
      <c r="BA37" s="49"/>
      <c r="BB37" s="49"/>
      <c r="BC37" s="49"/>
      <c r="BD37" s="49"/>
      <c r="BE37" s="49"/>
      <c r="BF37" s="49"/>
      <c r="BG37" s="49"/>
      <c r="BH37" s="49"/>
      <c r="BI37" s="16"/>
      <c r="BJ37" s="16"/>
      <c r="BK37" s="16"/>
      <c r="BL37" s="16"/>
      <c r="BM37" s="12"/>
      <c r="BN37" s="12"/>
      <c r="BO37" s="17"/>
      <c r="BP37" s="17"/>
      <c r="BQ37" s="17"/>
      <c r="BR37" s="17"/>
      <c r="BS37" s="17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17"/>
      <c r="CF37" s="17"/>
      <c r="CG37" s="12"/>
      <c r="CH37" s="12"/>
      <c r="CI37" s="12"/>
      <c r="CJ37" s="12"/>
      <c r="CK37" s="18"/>
      <c r="CL37" s="18"/>
      <c r="CM37" s="18"/>
      <c r="CN37" s="18"/>
      <c r="CO37" s="18"/>
      <c r="CP37" s="18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18"/>
      <c r="DE37" s="18"/>
      <c r="DF37" s="12"/>
      <c r="DG37" s="12"/>
      <c r="DH37" s="19"/>
      <c r="DI37" s="19"/>
      <c r="DJ37" s="19"/>
      <c r="DK37" s="19"/>
      <c r="DL37" s="19"/>
      <c r="DM37" s="19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19"/>
      <c r="EC37" s="12"/>
      <c r="ED37" s="20"/>
      <c r="EE37" s="20"/>
      <c r="EF37" s="20"/>
      <c r="EG37" s="20"/>
      <c r="EH37" s="20"/>
      <c r="EI37" s="54">
        <f>Calcoli!$B$98</f>
        <v>0</v>
      </c>
      <c r="EJ37" s="54"/>
      <c r="EK37" s="20"/>
      <c r="EL37" s="20"/>
      <c r="EM37" s="20"/>
      <c r="EN37" s="20"/>
      <c r="EO37" s="20"/>
      <c r="EP37" s="20"/>
      <c r="EQ37" s="53"/>
      <c r="ER37" s="53"/>
      <c r="ES37" s="53"/>
      <c r="ET37" s="35"/>
      <c r="EU37" s="35"/>
      <c r="EV37" s="35"/>
      <c r="EW37" s="35"/>
      <c r="EX37" s="35"/>
      <c r="EY37" s="35"/>
      <c r="EZ37" s="35"/>
      <c r="FA37" s="35"/>
      <c r="FB37" s="35"/>
      <c r="FC37" s="20"/>
      <c r="FD37" s="12"/>
    </row>
    <row r="38" spans="1:160" ht="4.5" customHeight="1">
      <c r="A38" s="11"/>
      <c r="B38" s="11"/>
      <c r="C38" s="32"/>
      <c r="D38" s="32"/>
      <c r="E38" s="32"/>
      <c r="F38" s="32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11"/>
      <c r="R38" s="11"/>
      <c r="S38" s="11"/>
      <c r="T38" s="12"/>
      <c r="U38" s="12"/>
      <c r="V38" s="12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2"/>
      <c r="AN38" s="12"/>
      <c r="AO38" s="12"/>
      <c r="AP38" s="12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2"/>
      <c r="BN38" s="12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2"/>
      <c r="CH38" s="12"/>
      <c r="CI38" s="12"/>
      <c r="CJ38" s="12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2"/>
      <c r="DG38" s="12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2"/>
      <c r="ED38" s="20"/>
      <c r="EE38" s="20"/>
      <c r="EF38" s="20"/>
      <c r="EG38" s="20"/>
      <c r="EH38" s="20"/>
      <c r="EI38" s="54"/>
      <c r="EJ38" s="54"/>
      <c r="EK38" s="20"/>
      <c r="EL38" s="20"/>
      <c r="EM38" s="20"/>
      <c r="EN38" s="20"/>
      <c r="EO38" s="20"/>
      <c r="EP38" s="20"/>
      <c r="EQ38" s="20"/>
      <c r="ER38" s="20"/>
      <c r="ES38" s="20"/>
      <c r="ET38" s="36" t="str">
        <f>"Movimenti &gt; "&amp;FIXED(N_Dmg,0)&amp;" pz"</f>
        <v>Movimenti &gt; 10 pz</v>
      </c>
      <c r="EU38" s="36"/>
      <c r="EV38" s="36"/>
      <c r="EW38" s="36"/>
      <c r="EX38" s="36"/>
      <c r="EY38" s="36"/>
      <c r="EZ38" s="36"/>
      <c r="FA38" s="36"/>
      <c r="FB38" s="36"/>
      <c r="FC38" s="20"/>
      <c r="FD38" s="12"/>
    </row>
    <row r="39" spans="1:160" ht="7.5" customHeight="1">
      <c r="A39" s="11"/>
      <c r="B39" s="11"/>
      <c r="C39" s="32"/>
      <c r="D39" s="32"/>
      <c r="E39" s="32"/>
      <c r="F39" s="32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11"/>
      <c r="R39" s="11"/>
      <c r="S39" s="11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20"/>
      <c r="EE39" s="20"/>
      <c r="EF39" s="20"/>
      <c r="EG39" s="20"/>
      <c r="EH39" s="20"/>
      <c r="EI39" s="54"/>
      <c r="EJ39" s="54"/>
      <c r="EK39" s="20"/>
      <c r="EL39" s="20"/>
      <c r="EM39" s="20"/>
      <c r="EN39" s="20"/>
      <c r="EO39" s="20"/>
      <c r="EP39" s="20"/>
      <c r="EQ39" s="20"/>
      <c r="ER39" s="20"/>
      <c r="ES39" s="20"/>
      <c r="ET39" s="36"/>
      <c r="EU39" s="36"/>
      <c r="EV39" s="36"/>
      <c r="EW39" s="36"/>
      <c r="EX39" s="36"/>
      <c r="EY39" s="36"/>
      <c r="EZ39" s="36"/>
      <c r="FA39" s="36"/>
      <c r="FB39" s="36"/>
      <c r="FC39" s="20"/>
      <c r="FD39" s="12"/>
    </row>
    <row r="40" spans="1:160" ht="1.5" customHeight="1">
      <c r="A40" s="11"/>
      <c r="B40" s="11"/>
      <c r="C40" s="32"/>
      <c r="D40" s="32"/>
      <c r="E40" s="32"/>
      <c r="F40" s="32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11"/>
      <c r="R40" s="11"/>
      <c r="S40" s="11"/>
      <c r="T40" s="12"/>
      <c r="U40" s="12"/>
      <c r="V40" s="12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12"/>
      <c r="ED40" s="20"/>
      <c r="EE40" s="20"/>
      <c r="EF40" s="20"/>
      <c r="EG40" s="20"/>
      <c r="EH40" s="20"/>
      <c r="EI40" s="54"/>
      <c r="EJ40" s="54"/>
      <c r="EK40" s="20"/>
      <c r="EL40" s="20"/>
      <c r="EM40" s="20"/>
      <c r="EN40" s="20"/>
      <c r="EO40" s="20"/>
      <c r="EP40" s="20"/>
      <c r="EQ40" s="20"/>
      <c r="ER40" s="20"/>
      <c r="ES40" s="20"/>
      <c r="ET40" s="36"/>
      <c r="EU40" s="36"/>
      <c r="EV40" s="36"/>
      <c r="EW40" s="36"/>
      <c r="EX40" s="36"/>
      <c r="EY40" s="36"/>
      <c r="EZ40" s="36"/>
      <c r="FA40" s="36"/>
      <c r="FB40" s="36"/>
      <c r="FC40" s="20"/>
      <c r="FD40" s="12"/>
    </row>
    <row r="41" spans="1:160" ht="3" customHeight="1">
      <c r="A41" s="11"/>
      <c r="B41" s="11"/>
      <c r="C41" s="32"/>
      <c r="D41" s="32"/>
      <c r="E41" s="32"/>
      <c r="F41" s="32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11"/>
      <c r="R41" s="11"/>
      <c r="S41" s="11"/>
      <c r="T41" s="12"/>
      <c r="U41" s="12"/>
      <c r="V41" s="12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12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36"/>
      <c r="EU41" s="36"/>
      <c r="EV41" s="36"/>
      <c r="EW41" s="36"/>
      <c r="EX41" s="36"/>
      <c r="EY41" s="36"/>
      <c r="EZ41" s="36"/>
      <c r="FA41" s="36"/>
      <c r="FB41" s="36"/>
      <c r="FC41" s="20"/>
      <c r="FD41" s="12"/>
    </row>
    <row r="42" spans="1:160" ht="3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2"/>
      <c r="U42" s="12"/>
      <c r="V42" s="12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12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12"/>
    </row>
    <row r="43" spans="1:160" ht="1.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2"/>
      <c r="U43" s="12"/>
      <c r="V43" s="12"/>
      <c r="W43" s="55"/>
      <c r="X43" s="55"/>
      <c r="Y43" s="55"/>
      <c r="Z43" s="55"/>
      <c r="AA43" s="55"/>
      <c r="AB43" s="56" t="s">
        <v>145</v>
      </c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5"/>
      <c r="AO43" s="55"/>
      <c r="AP43" s="55"/>
      <c r="AQ43" s="55"/>
      <c r="AR43" s="55"/>
      <c r="AS43" s="55"/>
      <c r="AT43" s="55"/>
      <c r="AU43" s="55"/>
      <c r="AV43" s="55"/>
      <c r="AW43" s="56" t="s">
        <v>146</v>
      </c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5"/>
      <c r="BM43" s="55"/>
      <c r="BN43" s="55"/>
      <c r="BO43" s="55"/>
      <c r="BP43" s="55"/>
      <c r="BQ43" s="56" t="s">
        <v>147</v>
      </c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5"/>
      <c r="CG43" s="55"/>
      <c r="CH43" s="55"/>
      <c r="CI43" s="55"/>
      <c r="CJ43" s="55"/>
      <c r="CK43" s="55"/>
      <c r="CL43" s="55"/>
      <c r="CM43" s="55"/>
      <c r="CN43" s="56" t="s">
        <v>148</v>
      </c>
      <c r="CO43" s="56"/>
      <c r="CP43" s="56"/>
      <c r="CQ43" s="56"/>
      <c r="CR43" s="56"/>
      <c r="CS43" s="56"/>
      <c r="CT43" s="56"/>
      <c r="CU43" s="56"/>
      <c r="CV43" s="56"/>
      <c r="CW43" s="56"/>
      <c r="CX43" s="56"/>
      <c r="CY43" s="56"/>
      <c r="CZ43" s="56"/>
      <c r="DA43" s="56"/>
      <c r="DB43" s="56"/>
      <c r="DC43" s="56"/>
      <c r="DD43" s="56"/>
      <c r="DE43" s="55"/>
      <c r="DF43" s="55"/>
      <c r="DG43" s="55"/>
      <c r="DH43" s="55"/>
      <c r="DI43" s="55"/>
      <c r="DJ43" s="55"/>
      <c r="DK43" s="55"/>
      <c r="DL43" s="56" t="s">
        <v>149</v>
      </c>
      <c r="DM43" s="56"/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/>
      <c r="DY43" s="56"/>
      <c r="DZ43" s="56"/>
      <c r="EA43" s="56"/>
      <c r="EB43" s="55"/>
      <c r="EC43" s="12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57" t="s">
        <v>151</v>
      </c>
      <c r="ER43" s="57"/>
      <c r="ES43" s="57"/>
      <c r="ET43" s="35" t="str">
        <f>"Scorta bassa ("&amp;Calcoli!$B$96&amp;")"</f>
        <v>Scorta bassa (0)</v>
      </c>
      <c r="EU43" s="35"/>
      <c r="EV43" s="35"/>
      <c r="EW43" s="35"/>
      <c r="EX43" s="35"/>
      <c r="EY43" s="35"/>
      <c r="EZ43" s="35"/>
      <c r="FA43" s="35"/>
      <c r="FB43" s="35"/>
      <c r="FC43" s="20"/>
      <c r="FD43" s="12"/>
    </row>
    <row r="44" spans="1:160" ht="4.5" customHeight="1">
      <c r="A44" s="11"/>
      <c r="B44" s="11"/>
      <c r="C44" s="32"/>
      <c r="D44" s="32"/>
      <c r="E44" s="32"/>
      <c r="F44" s="32"/>
      <c r="G44" s="33" t="s">
        <v>134</v>
      </c>
      <c r="H44" s="33"/>
      <c r="I44" s="33"/>
      <c r="J44" s="33"/>
      <c r="K44" s="33"/>
      <c r="L44" s="33"/>
      <c r="M44" s="33"/>
      <c r="N44" s="33"/>
      <c r="O44" s="33"/>
      <c r="P44" s="33"/>
      <c r="Q44" s="11"/>
      <c r="R44" s="11"/>
      <c r="S44" s="11"/>
      <c r="T44" s="12"/>
      <c r="U44" s="12"/>
      <c r="V44" s="12"/>
      <c r="W44" s="55"/>
      <c r="X44" s="55"/>
      <c r="Y44" s="55"/>
      <c r="Z44" s="55"/>
      <c r="AA44" s="55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5"/>
      <c r="AO44" s="58"/>
      <c r="AP44" s="55"/>
      <c r="AQ44" s="55"/>
      <c r="AR44" s="55"/>
      <c r="AS44" s="55"/>
      <c r="AT44" s="55"/>
      <c r="AU44" s="55"/>
      <c r="AV44" s="55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5"/>
      <c r="BM44" s="55"/>
      <c r="BN44" s="58"/>
      <c r="BO44" s="55"/>
      <c r="BP44" s="55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5"/>
      <c r="CG44" s="55"/>
      <c r="CH44" s="58"/>
      <c r="CI44" s="55"/>
      <c r="CJ44" s="55"/>
      <c r="CK44" s="55"/>
      <c r="CL44" s="55"/>
      <c r="CM44" s="55"/>
      <c r="CN44" s="56"/>
      <c r="CO44" s="56"/>
      <c r="CP44" s="56"/>
      <c r="CQ44" s="56"/>
      <c r="CR44" s="56"/>
      <c r="CS44" s="56"/>
      <c r="CT44" s="56"/>
      <c r="CU44" s="56"/>
      <c r="CV44" s="56"/>
      <c r="CW44" s="56"/>
      <c r="CX44" s="56"/>
      <c r="CY44" s="56"/>
      <c r="CZ44" s="56"/>
      <c r="DA44" s="56"/>
      <c r="DB44" s="56"/>
      <c r="DC44" s="56"/>
      <c r="DD44" s="56"/>
      <c r="DE44" s="55"/>
      <c r="DF44" s="55"/>
      <c r="DG44" s="58"/>
      <c r="DH44" s="55"/>
      <c r="DI44" s="55"/>
      <c r="DJ44" s="55"/>
      <c r="DK44" s="55"/>
      <c r="DL44" s="56"/>
      <c r="DM44" s="56"/>
      <c r="DN44" s="56"/>
      <c r="DO44" s="56"/>
      <c r="DP44" s="56"/>
      <c r="DQ44" s="56"/>
      <c r="DR44" s="56"/>
      <c r="DS44" s="56"/>
      <c r="DT44" s="56"/>
      <c r="DU44" s="56"/>
      <c r="DV44" s="56"/>
      <c r="DW44" s="56"/>
      <c r="DX44" s="56"/>
      <c r="DY44" s="56"/>
      <c r="DZ44" s="56"/>
      <c r="EA44" s="56"/>
      <c r="EB44" s="55"/>
      <c r="EC44" s="12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57"/>
      <c r="ER44" s="57"/>
      <c r="ES44" s="57"/>
      <c r="ET44" s="35"/>
      <c r="EU44" s="35"/>
      <c r="EV44" s="35"/>
      <c r="EW44" s="35"/>
      <c r="EX44" s="35"/>
      <c r="EY44" s="35"/>
      <c r="EZ44" s="35"/>
      <c r="FA44" s="35"/>
      <c r="FB44" s="35"/>
      <c r="FC44" s="20"/>
      <c r="FD44" s="12"/>
    </row>
    <row r="45" spans="1:160" ht="6" customHeight="1">
      <c r="A45" s="11"/>
      <c r="B45" s="11"/>
      <c r="C45" s="32"/>
      <c r="D45" s="32"/>
      <c r="E45" s="32"/>
      <c r="F45" s="32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11"/>
      <c r="R45" s="11"/>
      <c r="S45" s="11"/>
      <c r="T45" s="12"/>
      <c r="U45" s="12"/>
      <c r="V45" s="12"/>
      <c r="W45" s="55"/>
      <c r="X45" s="55"/>
      <c r="Y45" s="55"/>
      <c r="Z45" s="55"/>
      <c r="AA45" s="55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5"/>
      <c r="AO45" s="58"/>
      <c r="AP45" s="55"/>
      <c r="AQ45" s="55"/>
      <c r="AR45" s="55"/>
      <c r="AS45" s="55"/>
      <c r="AT45" s="55"/>
      <c r="AU45" s="55"/>
      <c r="AV45" s="55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5"/>
      <c r="BM45" s="55"/>
      <c r="BN45" s="58"/>
      <c r="BO45" s="55"/>
      <c r="BP45" s="55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5"/>
      <c r="CG45" s="55"/>
      <c r="CH45" s="58"/>
      <c r="CI45" s="55"/>
      <c r="CJ45" s="55"/>
      <c r="CK45" s="55"/>
      <c r="CL45" s="55"/>
      <c r="CM45" s="55"/>
      <c r="CN45" s="56"/>
      <c r="CO45" s="56"/>
      <c r="CP45" s="56"/>
      <c r="CQ45" s="56"/>
      <c r="CR45" s="56"/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5"/>
      <c r="DF45" s="55"/>
      <c r="DG45" s="58"/>
      <c r="DH45" s="55"/>
      <c r="DI45" s="55"/>
      <c r="DJ45" s="55"/>
      <c r="DK45" s="55"/>
      <c r="DL45" s="56"/>
      <c r="DM45" s="56"/>
      <c r="DN45" s="56"/>
      <c r="DO45" s="56"/>
      <c r="DP45" s="56"/>
      <c r="DQ45" s="56"/>
      <c r="DR45" s="56"/>
      <c r="DS45" s="56"/>
      <c r="DT45" s="56"/>
      <c r="DU45" s="56"/>
      <c r="DV45" s="56"/>
      <c r="DW45" s="56"/>
      <c r="DX45" s="56"/>
      <c r="DY45" s="56"/>
      <c r="DZ45" s="56"/>
      <c r="EA45" s="56"/>
      <c r="EB45" s="55"/>
      <c r="EC45" s="12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57"/>
      <c r="ER45" s="57"/>
      <c r="ES45" s="57"/>
      <c r="ET45" s="35"/>
      <c r="EU45" s="35"/>
      <c r="EV45" s="35"/>
      <c r="EW45" s="35"/>
      <c r="EX45" s="35"/>
      <c r="EY45" s="35"/>
      <c r="EZ45" s="35"/>
      <c r="FA45" s="35"/>
      <c r="FB45" s="35"/>
      <c r="FC45" s="20"/>
      <c r="FD45" s="12"/>
    </row>
    <row r="46" spans="1:160" ht="1.5" customHeight="1">
      <c r="A46" s="11"/>
      <c r="B46" s="11"/>
      <c r="C46" s="32"/>
      <c r="D46" s="32"/>
      <c r="E46" s="32"/>
      <c r="F46" s="32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11"/>
      <c r="R46" s="11"/>
      <c r="S46" s="11"/>
      <c r="T46" s="12"/>
      <c r="U46" s="12"/>
      <c r="V46" s="12"/>
      <c r="W46" s="55"/>
      <c r="X46" s="55"/>
      <c r="Y46" s="55"/>
      <c r="Z46" s="55"/>
      <c r="AA46" s="55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5"/>
      <c r="AO46" s="58"/>
      <c r="AP46" s="55"/>
      <c r="AQ46" s="55"/>
      <c r="AR46" s="55"/>
      <c r="AS46" s="55"/>
      <c r="AT46" s="55"/>
      <c r="AU46" s="55"/>
      <c r="AV46" s="55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5"/>
      <c r="BM46" s="55"/>
      <c r="BN46" s="58"/>
      <c r="BO46" s="55"/>
      <c r="BP46" s="55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5"/>
      <c r="CG46" s="55"/>
      <c r="CH46" s="58"/>
      <c r="CI46" s="55"/>
      <c r="CJ46" s="55"/>
      <c r="CK46" s="55"/>
      <c r="CL46" s="55"/>
      <c r="CM46" s="55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5"/>
      <c r="DF46" s="55"/>
      <c r="DG46" s="58"/>
      <c r="DH46" s="55"/>
      <c r="DI46" s="55"/>
      <c r="DJ46" s="55"/>
      <c r="DK46" s="55"/>
      <c r="DL46" s="56"/>
      <c r="DM46" s="56"/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B46" s="55"/>
      <c r="EC46" s="12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36" t="str">
        <f>"Giacenza &lt; "&amp;FIXED(N_Stock,0)&amp;" u."</f>
        <v>Giacenza &lt; 1,000 u.</v>
      </c>
      <c r="EU46" s="36"/>
      <c r="EV46" s="36"/>
      <c r="EW46" s="36"/>
      <c r="EX46" s="36"/>
      <c r="EY46" s="36"/>
      <c r="EZ46" s="36"/>
      <c r="FA46" s="36"/>
      <c r="FB46" s="36"/>
      <c r="FC46" s="20"/>
      <c r="FD46" s="12"/>
    </row>
    <row r="47" spans="1:160" ht="12" customHeight="1">
      <c r="A47" s="11"/>
      <c r="B47" s="11"/>
      <c r="C47" s="32"/>
      <c r="D47" s="32"/>
      <c r="E47" s="32"/>
      <c r="F47" s="32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11"/>
      <c r="R47" s="11"/>
      <c r="S47" s="11"/>
      <c r="T47" s="12"/>
      <c r="U47" s="12"/>
      <c r="V47" s="12"/>
      <c r="W47" s="55"/>
      <c r="X47" s="55"/>
      <c r="Y47" s="55"/>
      <c r="Z47" s="55"/>
      <c r="AA47" s="55"/>
      <c r="AB47" s="59">
        <f>Calcoli!$B$69</f>
        <v>0</v>
      </c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5"/>
      <c r="AO47" s="58"/>
      <c r="AP47" s="55"/>
      <c r="AQ47" s="55"/>
      <c r="AR47" s="55"/>
      <c r="AS47" s="55"/>
      <c r="AT47" s="55"/>
      <c r="AU47" s="55"/>
      <c r="AV47" s="55"/>
      <c r="AW47" s="59">
        <f>Calcoli!$B$70</f>
        <v>0</v>
      </c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5"/>
      <c r="BM47" s="55"/>
      <c r="BN47" s="58"/>
      <c r="BO47" s="55"/>
      <c r="BP47" s="55"/>
      <c r="BQ47" s="60">
        <f>Calcoli!$B$71</f>
        <v>0</v>
      </c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55"/>
      <c r="CG47" s="55"/>
      <c r="CH47" s="58"/>
      <c r="CI47" s="55"/>
      <c r="CJ47" s="55"/>
      <c r="CK47" s="55"/>
      <c r="CL47" s="55"/>
      <c r="CM47" s="55"/>
      <c r="CN47" s="61">
        <f>Calcoli!$B$72</f>
        <v>0</v>
      </c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  <c r="DE47" s="55"/>
      <c r="DF47" s="55"/>
      <c r="DG47" s="58"/>
      <c r="DH47" s="55"/>
      <c r="DI47" s="55"/>
      <c r="DJ47" s="55"/>
      <c r="DK47" s="55"/>
      <c r="DL47" s="60">
        <f>Calcoli!$B$73</f>
        <v>0</v>
      </c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55"/>
      <c r="EC47" s="12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36"/>
      <c r="EU47" s="36"/>
      <c r="EV47" s="36"/>
      <c r="EW47" s="36"/>
      <c r="EX47" s="36"/>
      <c r="EY47" s="36"/>
      <c r="EZ47" s="36"/>
      <c r="FA47" s="36"/>
      <c r="FB47" s="36"/>
      <c r="FC47" s="20"/>
      <c r="FD47" s="12"/>
    </row>
    <row r="48" spans="1:160" ht="3" customHeight="1">
      <c r="A48" s="11"/>
      <c r="B48" s="11"/>
      <c r="C48" s="32"/>
      <c r="D48" s="32"/>
      <c r="E48" s="32"/>
      <c r="F48" s="32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11"/>
      <c r="R48" s="11"/>
      <c r="S48" s="11"/>
      <c r="T48" s="12"/>
      <c r="U48" s="12"/>
      <c r="V48" s="12"/>
      <c r="W48" s="55"/>
      <c r="X48" s="55"/>
      <c r="Y48" s="55"/>
      <c r="Z48" s="55"/>
      <c r="AA48" s="55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5"/>
      <c r="AO48" s="58"/>
      <c r="AP48" s="55"/>
      <c r="AQ48" s="55"/>
      <c r="AR48" s="55"/>
      <c r="AS48" s="55"/>
      <c r="AT48" s="55"/>
      <c r="AU48" s="55"/>
      <c r="AV48" s="55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5"/>
      <c r="BM48" s="55"/>
      <c r="BN48" s="58"/>
      <c r="BO48" s="55"/>
      <c r="BP48" s="55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55"/>
      <c r="CG48" s="55"/>
      <c r="CH48" s="58"/>
      <c r="CI48" s="55"/>
      <c r="CJ48" s="55"/>
      <c r="CK48" s="55"/>
      <c r="CL48" s="55"/>
      <c r="CM48" s="55"/>
      <c r="CN48" s="61"/>
      <c r="CO48" s="61"/>
      <c r="CP48" s="61"/>
      <c r="CQ48" s="61"/>
      <c r="CR48" s="61"/>
      <c r="CS48" s="61"/>
      <c r="CT48" s="61"/>
      <c r="CU48" s="61"/>
      <c r="CV48" s="61"/>
      <c r="CW48" s="61"/>
      <c r="CX48" s="61"/>
      <c r="CY48" s="61"/>
      <c r="CZ48" s="61"/>
      <c r="DA48" s="61"/>
      <c r="DB48" s="61"/>
      <c r="DC48" s="61"/>
      <c r="DD48" s="61"/>
      <c r="DE48" s="55"/>
      <c r="DF48" s="55"/>
      <c r="DG48" s="58"/>
      <c r="DH48" s="55"/>
      <c r="DI48" s="55"/>
      <c r="DJ48" s="55"/>
      <c r="DK48" s="55"/>
      <c r="DL48" s="60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55"/>
      <c r="EC48" s="12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36"/>
      <c r="EU48" s="36"/>
      <c r="EV48" s="36"/>
      <c r="EW48" s="36"/>
      <c r="EX48" s="36"/>
      <c r="EY48" s="36"/>
      <c r="EZ48" s="36"/>
      <c r="FA48" s="36"/>
      <c r="FB48" s="36"/>
      <c r="FC48" s="20"/>
      <c r="FD48" s="12"/>
    </row>
    <row r="49" spans="1:160" ht="1.5" customHeight="1">
      <c r="A49" s="11"/>
      <c r="B49" s="11"/>
      <c r="C49" s="32"/>
      <c r="D49" s="32"/>
      <c r="E49" s="32"/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11"/>
      <c r="R49" s="11"/>
      <c r="S49" s="11"/>
      <c r="T49" s="12"/>
      <c r="U49" s="12"/>
      <c r="V49" s="12"/>
      <c r="W49" s="55"/>
      <c r="X49" s="55"/>
      <c r="Y49" s="55"/>
      <c r="Z49" s="55"/>
      <c r="AA49" s="55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5"/>
      <c r="AO49" s="58"/>
      <c r="AP49" s="55"/>
      <c r="AQ49" s="55"/>
      <c r="AR49" s="55"/>
      <c r="AS49" s="55"/>
      <c r="AT49" s="55"/>
      <c r="AU49" s="55"/>
      <c r="AV49" s="55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5"/>
      <c r="BM49" s="55"/>
      <c r="BN49" s="58"/>
      <c r="BO49" s="55"/>
      <c r="BP49" s="55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55"/>
      <c r="CG49" s="55"/>
      <c r="CH49" s="58"/>
      <c r="CI49" s="55"/>
      <c r="CJ49" s="55"/>
      <c r="CK49" s="55"/>
      <c r="CL49" s="55"/>
      <c r="CM49" s="55"/>
      <c r="CN49" s="61"/>
      <c r="CO49" s="61"/>
      <c r="CP49" s="61"/>
      <c r="CQ49" s="61"/>
      <c r="CR49" s="61"/>
      <c r="CS49" s="61"/>
      <c r="CT49" s="61"/>
      <c r="CU49" s="61"/>
      <c r="CV49" s="61"/>
      <c r="CW49" s="61"/>
      <c r="CX49" s="61"/>
      <c r="CY49" s="61"/>
      <c r="CZ49" s="61"/>
      <c r="DA49" s="61"/>
      <c r="DB49" s="61"/>
      <c r="DC49" s="61"/>
      <c r="DD49" s="61"/>
      <c r="DE49" s="55"/>
      <c r="DF49" s="55"/>
      <c r="DG49" s="58"/>
      <c r="DH49" s="55"/>
      <c r="DI49" s="55"/>
      <c r="DJ49" s="55"/>
      <c r="DK49" s="55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55"/>
      <c r="EC49" s="12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12"/>
    </row>
    <row r="50" spans="1:160" ht="3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2"/>
      <c r="U50" s="12"/>
      <c r="V50" s="12"/>
      <c r="W50" s="55"/>
      <c r="X50" s="55"/>
      <c r="Y50" s="55"/>
      <c r="Z50" s="55"/>
      <c r="AA50" s="55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5"/>
      <c r="AO50" s="58"/>
      <c r="AP50" s="55"/>
      <c r="AQ50" s="55"/>
      <c r="AR50" s="55"/>
      <c r="AS50" s="55"/>
      <c r="AT50" s="55"/>
      <c r="AU50" s="55"/>
      <c r="AV50" s="55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5"/>
      <c r="BM50" s="55"/>
      <c r="BN50" s="58"/>
      <c r="BO50" s="55"/>
      <c r="BP50" s="55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55"/>
      <c r="CG50" s="55"/>
      <c r="CH50" s="58"/>
      <c r="CI50" s="55"/>
      <c r="CJ50" s="55"/>
      <c r="CK50" s="55"/>
      <c r="CL50" s="55"/>
      <c r="CM50" s="55"/>
      <c r="CN50" s="61"/>
      <c r="CO50" s="61"/>
      <c r="CP50" s="61"/>
      <c r="CQ50" s="61"/>
      <c r="CR50" s="61"/>
      <c r="CS50" s="61"/>
      <c r="CT50" s="61"/>
      <c r="CU50" s="61"/>
      <c r="CV50" s="61"/>
      <c r="CW50" s="61"/>
      <c r="CX50" s="61"/>
      <c r="CY50" s="61"/>
      <c r="CZ50" s="61"/>
      <c r="DA50" s="61"/>
      <c r="DB50" s="61"/>
      <c r="DC50" s="61"/>
      <c r="DD50" s="61"/>
      <c r="DE50" s="55"/>
      <c r="DF50" s="55"/>
      <c r="DG50" s="58"/>
      <c r="DH50" s="55"/>
      <c r="DI50" s="55"/>
      <c r="DJ50" s="55"/>
      <c r="DK50" s="55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55"/>
      <c r="EC50" s="12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12"/>
    </row>
    <row r="51" spans="1:160" ht="1.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2"/>
      <c r="U51" s="12"/>
      <c r="V51" s="12"/>
      <c r="W51" s="55"/>
      <c r="X51" s="55"/>
      <c r="Y51" s="55"/>
      <c r="Z51" s="55"/>
      <c r="AA51" s="55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5"/>
      <c r="AO51" s="55"/>
      <c r="AP51" s="55"/>
      <c r="AQ51" s="55"/>
      <c r="AR51" s="55"/>
      <c r="AS51" s="55"/>
      <c r="AT51" s="55"/>
      <c r="AU51" s="55"/>
      <c r="AV51" s="55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5"/>
      <c r="BM51" s="55"/>
      <c r="BN51" s="55"/>
      <c r="BO51" s="55"/>
      <c r="BP51" s="55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55"/>
      <c r="CG51" s="55"/>
      <c r="CH51" s="55"/>
      <c r="CI51" s="55"/>
      <c r="CJ51" s="55"/>
      <c r="CK51" s="55"/>
      <c r="CL51" s="55"/>
      <c r="CM51" s="55"/>
      <c r="CN51" s="61"/>
      <c r="CO51" s="61"/>
      <c r="CP51" s="61"/>
      <c r="CQ51" s="61"/>
      <c r="CR51" s="61"/>
      <c r="CS51" s="61"/>
      <c r="CT51" s="61"/>
      <c r="CU51" s="61"/>
      <c r="CV51" s="61"/>
      <c r="CW51" s="61"/>
      <c r="CX51" s="61"/>
      <c r="CY51" s="61"/>
      <c r="CZ51" s="61"/>
      <c r="DA51" s="61"/>
      <c r="DB51" s="61"/>
      <c r="DC51" s="61"/>
      <c r="DD51" s="61"/>
      <c r="DE51" s="55"/>
      <c r="DF51" s="55"/>
      <c r="DG51" s="55"/>
      <c r="DH51" s="55"/>
      <c r="DI51" s="55"/>
      <c r="DJ51" s="55"/>
      <c r="DK51" s="55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55"/>
      <c r="EC51" s="12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12"/>
    </row>
    <row r="52" spans="1:160" ht="1.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2"/>
      <c r="U52" s="12"/>
      <c r="V52" s="12"/>
      <c r="W52" s="55"/>
      <c r="X52" s="55"/>
      <c r="Y52" s="55"/>
      <c r="Z52" s="55"/>
      <c r="AA52" s="55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5"/>
      <c r="AO52" s="55"/>
      <c r="AP52" s="55"/>
      <c r="AQ52" s="55"/>
      <c r="AR52" s="55"/>
      <c r="AS52" s="55"/>
      <c r="AT52" s="55"/>
      <c r="AU52" s="55"/>
      <c r="AV52" s="55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5"/>
      <c r="BM52" s="55"/>
      <c r="BN52" s="55"/>
      <c r="BO52" s="55"/>
      <c r="BP52" s="55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55"/>
      <c r="CG52" s="55"/>
      <c r="CH52" s="55"/>
      <c r="CI52" s="55"/>
      <c r="CJ52" s="55"/>
      <c r="CK52" s="55"/>
      <c r="CL52" s="55"/>
      <c r="CM52" s="55"/>
      <c r="CN52" s="61"/>
      <c r="CO52" s="61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  <c r="DB52" s="61"/>
      <c r="DC52" s="61"/>
      <c r="DD52" s="61"/>
      <c r="DE52" s="55"/>
      <c r="DF52" s="55"/>
      <c r="DG52" s="55"/>
      <c r="DH52" s="55"/>
      <c r="DI52" s="55"/>
      <c r="DJ52" s="55"/>
      <c r="DK52" s="55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55"/>
      <c r="EC52" s="12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12"/>
    </row>
    <row r="53" spans="1:160" ht="3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2"/>
      <c r="U53" s="12"/>
      <c r="V53" s="12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12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12"/>
    </row>
    <row r="54" spans="1:160" ht="1.5" customHeight="1">
      <c r="A54" s="11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11"/>
      <c r="S54" s="11"/>
      <c r="T54" s="12"/>
      <c r="U54" s="12"/>
      <c r="V54" s="12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55"/>
      <c r="DF54" s="55"/>
      <c r="DG54" s="55"/>
      <c r="DH54" s="55"/>
      <c r="DI54" s="55"/>
      <c r="DJ54" s="55"/>
      <c r="DK54" s="55"/>
      <c r="DL54" s="55"/>
      <c r="DM54" s="55"/>
      <c r="DN54" s="55"/>
      <c r="DO54" s="55"/>
      <c r="DP54" s="55"/>
      <c r="DQ54" s="55"/>
      <c r="DR54" s="55"/>
      <c r="DS54" s="55"/>
      <c r="DT54" s="55"/>
      <c r="DU54" s="55"/>
      <c r="DV54" s="55"/>
      <c r="DW54" s="55"/>
      <c r="DX54" s="55"/>
      <c r="DY54" s="55"/>
      <c r="DZ54" s="55"/>
      <c r="EA54" s="55"/>
      <c r="EB54" s="55"/>
      <c r="EC54" s="12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12"/>
    </row>
    <row r="55" spans="1:160" ht="1.5" customHeight="1">
      <c r="A55" s="11"/>
      <c r="B55" s="62"/>
      <c r="C55" s="62"/>
      <c r="D55" s="62"/>
      <c r="E55" s="62"/>
      <c r="F55" s="63" t="s">
        <v>51</v>
      </c>
      <c r="G55" s="63"/>
      <c r="H55" s="63"/>
      <c r="I55" s="63"/>
      <c r="J55" s="63"/>
      <c r="K55" s="63"/>
      <c r="L55" s="63"/>
      <c r="M55" s="63"/>
      <c r="N55" s="63"/>
      <c r="O55" s="62"/>
      <c r="P55" s="62"/>
      <c r="Q55" s="62"/>
      <c r="R55" s="11"/>
      <c r="S55" s="11"/>
      <c r="T55" s="12"/>
      <c r="U55" s="12"/>
      <c r="V55" s="12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5"/>
      <c r="DM55" s="55"/>
      <c r="DN55" s="55"/>
      <c r="DO55" s="55"/>
      <c r="DP55" s="55"/>
      <c r="DQ55" s="55"/>
      <c r="DR55" s="55"/>
      <c r="DS55" s="55"/>
      <c r="DT55" s="55"/>
      <c r="DU55" s="55"/>
      <c r="DV55" s="55"/>
      <c r="DW55" s="55"/>
      <c r="DX55" s="55"/>
      <c r="DY55" s="55"/>
      <c r="DZ55" s="55"/>
      <c r="EA55" s="55"/>
      <c r="EB55" s="55"/>
      <c r="EC55" s="12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12"/>
    </row>
    <row r="56" spans="1:160" ht="3" customHeight="1">
      <c r="A56" s="11"/>
      <c r="B56" s="62"/>
      <c r="C56" s="62"/>
      <c r="D56" s="62"/>
      <c r="E56" s="62"/>
      <c r="F56" s="63"/>
      <c r="G56" s="63"/>
      <c r="H56" s="63"/>
      <c r="I56" s="63"/>
      <c r="J56" s="63"/>
      <c r="K56" s="63"/>
      <c r="L56" s="63"/>
      <c r="M56" s="63"/>
      <c r="N56" s="63"/>
      <c r="O56" s="62"/>
      <c r="P56" s="62"/>
      <c r="Q56" s="62"/>
      <c r="R56" s="11"/>
      <c r="S56" s="11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</row>
    <row r="57" spans="1:160" ht="4.5" customHeight="1">
      <c r="A57" s="11"/>
      <c r="B57" s="62"/>
      <c r="C57" s="62"/>
      <c r="D57" s="62"/>
      <c r="E57" s="62"/>
      <c r="F57" s="63"/>
      <c r="G57" s="63"/>
      <c r="H57" s="63"/>
      <c r="I57" s="63"/>
      <c r="J57" s="63"/>
      <c r="K57" s="63"/>
      <c r="L57" s="63"/>
      <c r="M57" s="63"/>
      <c r="N57" s="63"/>
      <c r="O57" s="62"/>
      <c r="P57" s="62"/>
      <c r="Q57" s="62"/>
      <c r="R57" s="11"/>
      <c r="S57" s="11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</row>
    <row r="58" spans="1:160" ht="3" customHeight="1">
      <c r="A58" s="11"/>
      <c r="B58" s="62"/>
      <c r="C58" s="62"/>
      <c r="D58" s="62"/>
      <c r="E58" s="62"/>
      <c r="F58" s="63"/>
      <c r="G58" s="63"/>
      <c r="H58" s="63"/>
      <c r="I58" s="63"/>
      <c r="J58" s="63"/>
      <c r="K58" s="63"/>
      <c r="L58" s="63"/>
      <c r="M58" s="63"/>
      <c r="N58" s="63"/>
      <c r="O58" s="62"/>
      <c r="P58" s="62"/>
      <c r="Q58" s="62"/>
      <c r="R58" s="11"/>
      <c r="S58" s="11"/>
      <c r="T58" s="12"/>
      <c r="U58" s="12"/>
      <c r="V58" s="12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12"/>
      <c r="BD58" s="12"/>
      <c r="BE58" s="12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12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12"/>
      <c r="ED58" s="64"/>
      <c r="EE58" s="64"/>
      <c r="EF58" s="64"/>
      <c r="EG58" s="64"/>
      <c r="EH58" s="64"/>
      <c r="EI58" s="64"/>
      <c r="EJ58" s="64"/>
      <c r="EK58" s="64"/>
      <c r="EL58" s="64"/>
      <c r="EM58" s="64"/>
      <c r="EN58" s="64"/>
      <c r="EO58" s="64"/>
      <c r="EP58" s="64"/>
      <c r="EQ58" s="64"/>
      <c r="ER58" s="64"/>
      <c r="ES58" s="64"/>
      <c r="ET58" s="64"/>
      <c r="EU58" s="64"/>
      <c r="EV58" s="64"/>
      <c r="EW58" s="64"/>
      <c r="EX58" s="64"/>
      <c r="EY58" s="64"/>
      <c r="EZ58" s="64"/>
      <c r="FA58" s="64"/>
      <c r="FB58" s="64"/>
      <c r="FC58" s="64"/>
      <c r="FD58" s="12"/>
    </row>
    <row r="59" spans="1:160" ht="1.5" customHeight="1">
      <c r="A59" s="11"/>
      <c r="B59" s="62"/>
      <c r="C59" s="62"/>
      <c r="D59" s="62"/>
      <c r="E59" s="62"/>
      <c r="F59" s="63"/>
      <c r="G59" s="63"/>
      <c r="H59" s="63"/>
      <c r="I59" s="63"/>
      <c r="J59" s="63"/>
      <c r="K59" s="63"/>
      <c r="L59" s="63"/>
      <c r="M59" s="63"/>
      <c r="N59" s="63"/>
      <c r="O59" s="62"/>
      <c r="P59" s="62"/>
      <c r="Q59" s="62"/>
      <c r="R59" s="11"/>
      <c r="S59" s="11"/>
      <c r="T59" s="12"/>
      <c r="U59" s="12"/>
      <c r="V59" s="12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12"/>
      <c r="BD59" s="12"/>
      <c r="BE59" s="12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12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12"/>
      <c r="ED59" s="64"/>
      <c r="EE59" s="64"/>
      <c r="EF59" s="64"/>
      <c r="EG59" s="64"/>
      <c r="EH59" s="65" t="s">
        <v>45</v>
      </c>
      <c r="EI59" s="65"/>
      <c r="EJ59" s="65"/>
      <c r="EK59" s="65"/>
      <c r="EL59" s="65"/>
      <c r="EM59" s="65"/>
      <c r="EN59" s="64"/>
      <c r="EO59" s="64"/>
      <c r="EP59" s="64"/>
      <c r="EQ59" s="64"/>
      <c r="ER59" s="64"/>
      <c r="ES59" s="64"/>
      <c r="ET59" s="64"/>
      <c r="EU59" s="64"/>
      <c r="EV59" s="64"/>
      <c r="EW59" s="64"/>
      <c r="EX59" s="64"/>
      <c r="EY59" s="64"/>
      <c r="EZ59" s="64"/>
      <c r="FA59" s="64"/>
      <c r="FB59" s="64"/>
      <c r="FC59" s="64"/>
      <c r="FD59" s="12"/>
    </row>
    <row r="60" spans="1:160" ht="0.75" customHeight="1">
      <c r="A60" s="11"/>
      <c r="B60" s="62"/>
      <c r="C60" s="62"/>
      <c r="D60" s="62"/>
      <c r="E60" s="62"/>
      <c r="F60" s="63"/>
      <c r="G60" s="63"/>
      <c r="H60" s="63"/>
      <c r="I60" s="63"/>
      <c r="J60" s="63"/>
      <c r="K60" s="63"/>
      <c r="L60" s="63"/>
      <c r="M60" s="63"/>
      <c r="N60" s="63"/>
      <c r="O60" s="62"/>
      <c r="P60" s="62"/>
      <c r="Q60" s="62"/>
      <c r="R60" s="11"/>
      <c r="S60" s="11"/>
      <c r="T60" s="12"/>
      <c r="U60" s="12"/>
      <c r="V60" s="12"/>
      <c r="W60" s="20"/>
      <c r="X60" s="20"/>
      <c r="Y60" s="20"/>
      <c r="Z60" s="20"/>
      <c r="AA60" s="21" t="s">
        <v>152</v>
      </c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0"/>
      <c r="BC60" s="12"/>
      <c r="BD60" s="12"/>
      <c r="BE60" s="12"/>
      <c r="BF60" s="20"/>
      <c r="BG60" s="20"/>
      <c r="BH60" s="20"/>
      <c r="BI60" s="20"/>
      <c r="BJ60" s="20"/>
      <c r="BK60" s="21" t="s">
        <v>153</v>
      </c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0"/>
      <c r="CQ60" s="20"/>
      <c r="CR60" s="12"/>
      <c r="CS60" s="20"/>
      <c r="CT60" s="20"/>
      <c r="CU60" s="20"/>
      <c r="CV60" s="21" t="s">
        <v>154</v>
      </c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0"/>
      <c r="EB60" s="20"/>
      <c r="EC60" s="12"/>
      <c r="ED60" s="64"/>
      <c r="EE60" s="64"/>
      <c r="EF60" s="64"/>
      <c r="EG60" s="64"/>
      <c r="EH60" s="65"/>
      <c r="EI60" s="65"/>
      <c r="EJ60" s="65"/>
      <c r="EK60" s="65"/>
      <c r="EL60" s="65"/>
      <c r="EM60" s="65"/>
      <c r="EN60" s="64"/>
      <c r="EO60" s="64"/>
      <c r="EP60" s="64"/>
      <c r="EQ60" s="64"/>
      <c r="ER60" s="64"/>
      <c r="ES60" s="64"/>
      <c r="ET60" s="64"/>
      <c r="EU60" s="64"/>
      <c r="EV60" s="64"/>
      <c r="EW60" s="64"/>
      <c r="EX60" s="64"/>
      <c r="EY60" s="64"/>
      <c r="EZ60" s="64"/>
      <c r="FA60" s="64"/>
      <c r="FB60" s="64"/>
      <c r="FC60" s="64"/>
      <c r="FD60" s="12"/>
    </row>
    <row r="61" spans="1:160" ht="2.25" customHeight="1">
      <c r="A61" s="11"/>
      <c r="B61" s="62"/>
      <c r="C61" s="62"/>
      <c r="D61" s="62"/>
      <c r="E61" s="62"/>
      <c r="F61" s="63"/>
      <c r="G61" s="63"/>
      <c r="H61" s="63"/>
      <c r="I61" s="63"/>
      <c r="J61" s="63"/>
      <c r="K61" s="63"/>
      <c r="L61" s="63"/>
      <c r="M61" s="63"/>
      <c r="N61" s="63"/>
      <c r="O61" s="62"/>
      <c r="P61" s="62"/>
      <c r="Q61" s="62"/>
      <c r="R61" s="11"/>
      <c r="S61" s="11"/>
      <c r="T61" s="12"/>
      <c r="U61" s="12"/>
      <c r="V61" s="12"/>
      <c r="W61" s="20"/>
      <c r="X61" s="20"/>
      <c r="Y61" s="20"/>
      <c r="Z61" s="20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0"/>
      <c r="BC61" s="12"/>
      <c r="BD61" s="12"/>
      <c r="BE61" s="12"/>
      <c r="BF61" s="20"/>
      <c r="BG61" s="20"/>
      <c r="BH61" s="20"/>
      <c r="BI61" s="20"/>
      <c r="BJ61" s="20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0"/>
      <c r="CQ61" s="20"/>
      <c r="CR61" s="12"/>
      <c r="CS61" s="20"/>
      <c r="CT61" s="20"/>
      <c r="CU61" s="20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0"/>
      <c r="EB61" s="20"/>
      <c r="EC61" s="12"/>
      <c r="ED61" s="64"/>
      <c r="EE61" s="64"/>
      <c r="EF61" s="64"/>
      <c r="EG61" s="64"/>
      <c r="EH61" s="65"/>
      <c r="EI61" s="65"/>
      <c r="EJ61" s="65"/>
      <c r="EK61" s="65"/>
      <c r="EL61" s="65"/>
      <c r="EM61" s="65"/>
      <c r="EN61" s="64"/>
      <c r="EO61" s="66" t="s">
        <v>124</v>
      </c>
      <c r="EP61" s="66"/>
      <c r="EQ61" s="66"/>
      <c r="ER61" s="66"/>
      <c r="ES61" s="66"/>
      <c r="ET61" s="66"/>
      <c r="EU61" s="66"/>
      <c r="EV61" s="66"/>
      <c r="EW61" s="67" t="s">
        <v>129</v>
      </c>
      <c r="EX61" s="67"/>
      <c r="EY61" s="67"/>
      <c r="EZ61" s="67"/>
      <c r="FA61" s="64"/>
      <c r="FB61" s="64"/>
      <c r="FC61" s="64"/>
      <c r="FD61" s="12"/>
    </row>
    <row r="62" spans="1:160" ht="1.5" customHeight="1">
      <c r="A62" s="11"/>
      <c r="B62" s="62"/>
      <c r="C62" s="62"/>
      <c r="D62" s="62"/>
      <c r="E62" s="62"/>
      <c r="F62" s="63"/>
      <c r="G62" s="63"/>
      <c r="H62" s="63"/>
      <c r="I62" s="63"/>
      <c r="J62" s="63"/>
      <c r="K62" s="63"/>
      <c r="L62" s="63"/>
      <c r="M62" s="63"/>
      <c r="N62" s="63"/>
      <c r="O62" s="62"/>
      <c r="P62" s="62"/>
      <c r="Q62" s="62"/>
      <c r="R62" s="11"/>
      <c r="S62" s="11"/>
      <c r="T62" s="12"/>
      <c r="U62" s="12"/>
      <c r="V62" s="12"/>
      <c r="W62" s="20"/>
      <c r="X62" s="20"/>
      <c r="Y62" s="20"/>
      <c r="Z62" s="20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0"/>
      <c r="BC62" s="12"/>
      <c r="BD62" s="12"/>
      <c r="BE62" s="12"/>
      <c r="BF62" s="20"/>
      <c r="BG62" s="20"/>
      <c r="BH62" s="20"/>
      <c r="BI62" s="20"/>
      <c r="BJ62" s="20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0"/>
      <c r="CQ62" s="20"/>
      <c r="CR62" s="12"/>
      <c r="CS62" s="20"/>
      <c r="CT62" s="20"/>
      <c r="CU62" s="20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0"/>
      <c r="EB62" s="20"/>
      <c r="EC62" s="12"/>
      <c r="ED62" s="64"/>
      <c r="EE62" s="64"/>
      <c r="EF62" s="64"/>
      <c r="EG62" s="64"/>
      <c r="EH62" s="65"/>
      <c r="EI62" s="65"/>
      <c r="EJ62" s="65"/>
      <c r="EK62" s="65"/>
      <c r="EL62" s="65"/>
      <c r="EM62" s="65"/>
      <c r="EN62" s="64"/>
      <c r="EO62" s="66"/>
      <c r="EP62" s="66"/>
      <c r="EQ62" s="66"/>
      <c r="ER62" s="66"/>
      <c r="ES62" s="66"/>
      <c r="ET62" s="66"/>
      <c r="EU62" s="66"/>
      <c r="EV62" s="66"/>
      <c r="EW62" s="67"/>
      <c r="EX62" s="67"/>
      <c r="EY62" s="67"/>
      <c r="EZ62" s="67"/>
      <c r="FA62" s="64"/>
      <c r="FB62" s="64"/>
      <c r="FC62" s="64"/>
      <c r="FD62" s="12"/>
    </row>
    <row r="63" spans="1:160" ht="1.5" customHeight="1">
      <c r="A63" s="11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11"/>
      <c r="S63" s="11"/>
      <c r="T63" s="12"/>
      <c r="U63" s="12"/>
      <c r="V63" s="12"/>
      <c r="W63" s="20"/>
      <c r="X63" s="20"/>
      <c r="Y63" s="20"/>
      <c r="Z63" s="20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0"/>
      <c r="BC63" s="12"/>
      <c r="BD63" s="12"/>
      <c r="BE63" s="12"/>
      <c r="BF63" s="20"/>
      <c r="BG63" s="20"/>
      <c r="BH63" s="20"/>
      <c r="BI63" s="20"/>
      <c r="BJ63" s="20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0"/>
      <c r="CQ63" s="20"/>
      <c r="CR63" s="12"/>
      <c r="CS63" s="20"/>
      <c r="CT63" s="20"/>
      <c r="CU63" s="20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0"/>
      <c r="EB63" s="20"/>
      <c r="EC63" s="12"/>
      <c r="ED63" s="64"/>
      <c r="EE63" s="64"/>
      <c r="EF63" s="64"/>
      <c r="EG63" s="64"/>
      <c r="EH63" s="65"/>
      <c r="EI63" s="65"/>
      <c r="EJ63" s="65"/>
      <c r="EK63" s="65"/>
      <c r="EL63" s="65"/>
      <c r="EM63" s="65"/>
      <c r="EN63" s="64"/>
      <c r="EO63" s="66"/>
      <c r="EP63" s="66"/>
      <c r="EQ63" s="66"/>
      <c r="ER63" s="66"/>
      <c r="ES63" s="66"/>
      <c r="ET63" s="66"/>
      <c r="EU63" s="66"/>
      <c r="EV63" s="66"/>
      <c r="EW63" s="67"/>
      <c r="EX63" s="67"/>
      <c r="EY63" s="67"/>
      <c r="EZ63" s="67"/>
      <c r="FA63" s="64"/>
      <c r="FB63" s="64"/>
      <c r="FC63" s="64"/>
      <c r="FD63" s="12"/>
    </row>
    <row r="64" spans="1:160" ht="9.75" customHeight="1">
      <c r="A64" s="11"/>
      <c r="B64" s="62"/>
      <c r="C64" s="62"/>
      <c r="D64" s="68" t="s">
        <v>123</v>
      </c>
      <c r="E64" s="68"/>
      <c r="F64" s="68"/>
      <c r="G64" s="68"/>
      <c r="H64" s="68"/>
      <c r="I64" s="68"/>
      <c r="J64" s="68"/>
      <c r="K64" s="68"/>
      <c r="L64" s="68"/>
      <c r="M64" s="67" t="s">
        <v>129</v>
      </c>
      <c r="N64" s="62"/>
      <c r="O64" s="62"/>
      <c r="P64" s="62"/>
      <c r="Q64" s="62"/>
      <c r="R64" s="11"/>
      <c r="S64" s="11"/>
      <c r="T64" s="12"/>
      <c r="U64" s="12"/>
      <c r="V64" s="12"/>
      <c r="W64" s="20"/>
      <c r="X64" s="20"/>
      <c r="Y64" s="20"/>
      <c r="Z64" s="20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0"/>
      <c r="BC64" s="12"/>
      <c r="BD64" s="12"/>
      <c r="BE64" s="12"/>
      <c r="BF64" s="20"/>
      <c r="BG64" s="20"/>
      <c r="BH64" s="20"/>
      <c r="BI64" s="20"/>
      <c r="BJ64" s="20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0"/>
      <c r="CQ64" s="20"/>
      <c r="CR64" s="12"/>
      <c r="CS64" s="20"/>
      <c r="CT64" s="20"/>
      <c r="CU64" s="20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0"/>
      <c r="EB64" s="20"/>
      <c r="EC64" s="12"/>
      <c r="ED64" s="64"/>
      <c r="EE64" s="64"/>
      <c r="EF64" s="64"/>
      <c r="EG64" s="64"/>
      <c r="EH64" s="65"/>
      <c r="EI64" s="65"/>
      <c r="EJ64" s="65"/>
      <c r="EK64" s="65"/>
      <c r="EL64" s="65"/>
      <c r="EM64" s="65"/>
      <c r="EN64" s="64"/>
      <c r="EO64" s="66"/>
      <c r="EP64" s="66"/>
      <c r="EQ64" s="66"/>
      <c r="ER64" s="66"/>
      <c r="ES64" s="66"/>
      <c r="ET64" s="66"/>
      <c r="EU64" s="66"/>
      <c r="EV64" s="66"/>
      <c r="EW64" s="67"/>
      <c r="EX64" s="67"/>
      <c r="EY64" s="67"/>
      <c r="EZ64" s="67"/>
      <c r="FA64" s="64"/>
      <c r="FB64" s="64"/>
      <c r="FC64" s="64"/>
      <c r="FD64" s="12"/>
    </row>
    <row r="65" spans="1:160" ht="2.25" customHeight="1">
      <c r="A65" s="11"/>
      <c r="B65" s="62"/>
      <c r="C65" s="62"/>
      <c r="D65" s="68"/>
      <c r="E65" s="68"/>
      <c r="F65" s="68"/>
      <c r="G65" s="68"/>
      <c r="H65" s="68"/>
      <c r="I65" s="68"/>
      <c r="J65" s="68"/>
      <c r="K65" s="68"/>
      <c r="L65" s="68"/>
      <c r="M65" s="67"/>
      <c r="N65" s="62"/>
      <c r="O65" s="62"/>
      <c r="P65" s="62"/>
      <c r="Q65" s="62"/>
      <c r="R65" s="11"/>
      <c r="S65" s="11"/>
      <c r="T65" s="12"/>
      <c r="U65" s="12"/>
      <c r="V65" s="12"/>
      <c r="W65" s="20"/>
      <c r="X65" s="20"/>
      <c r="Y65" s="20"/>
      <c r="Z65" s="20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0"/>
      <c r="BC65" s="12"/>
      <c r="BD65" s="12"/>
      <c r="BE65" s="12"/>
      <c r="BF65" s="20"/>
      <c r="BG65" s="20"/>
      <c r="BH65" s="20"/>
      <c r="BI65" s="20"/>
      <c r="BJ65" s="20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0"/>
      <c r="CQ65" s="20"/>
      <c r="CR65" s="12"/>
      <c r="CS65" s="20"/>
      <c r="CT65" s="20"/>
      <c r="CU65" s="20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0"/>
      <c r="EB65" s="20"/>
      <c r="EC65" s="12"/>
      <c r="ED65" s="64"/>
      <c r="EE65" s="64"/>
      <c r="EF65" s="64"/>
      <c r="EG65" s="64"/>
      <c r="EH65" s="65"/>
      <c r="EI65" s="65"/>
      <c r="EJ65" s="65"/>
      <c r="EK65" s="65"/>
      <c r="EL65" s="65"/>
      <c r="EM65" s="65"/>
      <c r="EN65" s="64"/>
      <c r="EO65" s="64"/>
      <c r="EP65" s="64"/>
      <c r="EQ65" s="64"/>
      <c r="ER65" s="64"/>
      <c r="ES65" s="64"/>
      <c r="ET65" s="64"/>
      <c r="EU65" s="64"/>
      <c r="EV65" s="64"/>
      <c r="EW65" s="64"/>
      <c r="EX65" s="64"/>
      <c r="EY65" s="64"/>
      <c r="EZ65" s="64"/>
      <c r="FA65" s="64"/>
      <c r="FB65" s="64"/>
      <c r="FC65" s="64"/>
      <c r="FD65" s="12"/>
    </row>
    <row r="66" spans="1:160" ht="3" customHeight="1">
      <c r="A66" s="11"/>
      <c r="B66" s="62"/>
      <c r="C66" s="62"/>
      <c r="D66" s="68"/>
      <c r="E66" s="68"/>
      <c r="F66" s="68"/>
      <c r="G66" s="68"/>
      <c r="H66" s="68"/>
      <c r="I66" s="68"/>
      <c r="J66" s="68"/>
      <c r="K66" s="68"/>
      <c r="L66" s="68"/>
      <c r="M66" s="67"/>
      <c r="N66" s="62"/>
      <c r="O66" s="62"/>
      <c r="P66" s="62"/>
      <c r="Q66" s="62"/>
      <c r="R66" s="11"/>
      <c r="S66" s="11"/>
      <c r="T66" s="12"/>
      <c r="U66" s="12"/>
      <c r="V66" s="12"/>
      <c r="W66" s="20"/>
      <c r="X66" s="20"/>
      <c r="Y66" s="20"/>
      <c r="Z66" s="20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0"/>
      <c r="BC66" s="12"/>
      <c r="BD66" s="12"/>
      <c r="BE66" s="12"/>
      <c r="BF66" s="20"/>
      <c r="BG66" s="20"/>
      <c r="BH66" s="20"/>
      <c r="BI66" s="20"/>
      <c r="BJ66" s="20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0"/>
      <c r="CQ66" s="20"/>
      <c r="CR66" s="12"/>
      <c r="CS66" s="20"/>
      <c r="CT66" s="20"/>
      <c r="CU66" s="20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0"/>
      <c r="EB66" s="20"/>
      <c r="EC66" s="12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64"/>
      <c r="EW66" s="64"/>
      <c r="EX66" s="64"/>
      <c r="EY66" s="64"/>
      <c r="EZ66" s="64"/>
      <c r="FA66" s="64"/>
      <c r="FB66" s="64"/>
      <c r="FC66" s="64"/>
      <c r="FD66" s="12"/>
    </row>
    <row r="67" spans="1:160" ht="1.5" customHeight="1">
      <c r="A67" s="11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11"/>
      <c r="S67" s="11"/>
      <c r="T67" s="12"/>
      <c r="U67" s="12"/>
      <c r="V67" s="12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12"/>
      <c r="BD67" s="12"/>
      <c r="BE67" s="12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12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12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64"/>
      <c r="EW67" s="64"/>
      <c r="EX67" s="64"/>
      <c r="EY67" s="64"/>
      <c r="EZ67" s="64"/>
      <c r="FA67" s="64"/>
      <c r="FB67" s="64"/>
      <c r="FC67" s="64"/>
      <c r="FD67" s="12"/>
    </row>
    <row r="68" spans="1:160" ht="3" customHeight="1">
      <c r="A68" s="11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11"/>
      <c r="S68" s="11"/>
      <c r="T68" s="12"/>
      <c r="U68" s="12"/>
      <c r="V68" s="12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12"/>
      <c r="BD68" s="12"/>
      <c r="BE68" s="12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12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12"/>
      <c r="ED68" s="64"/>
      <c r="EE68" s="64"/>
      <c r="EF68" s="69">
        <f>Calcoli!$A$45</f>
        <v/>
      </c>
      <c r="EG68" s="69"/>
      <c r="EH68" s="69"/>
      <c r="EI68" s="69"/>
      <c r="EJ68" s="69"/>
      <c r="EK68" s="69"/>
      <c r="EL68" s="69"/>
      <c r="EM68" s="69"/>
      <c r="EN68" s="69"/>
      <c r="EO68" s="69"/>
      <c r="EP68" s="69"/>
      <c r="EQ68" s="69"/>
      <c r="ER68" s="69"/>
      <c r="ES68" s="69"/>
      <c r="ET68" s="69"/>
      <c r="EU68" s="69"/>
      <c r="EV68" s="69"/>
      <c r="EW68" s="69"/>
      <c r="EX68" s="69"/>
      <c r="EY68" s="64"/>
      <c r="EZ68" s="64"/>
      <c r="FA68" s="64"/>
      <c r="FB68" s="64"/>
      <c r="FC68" s="64"/>
      <c r="FD68" s="12"/>
    </row>
    <row r="69" spans="1:160" ht="12.75" customHeight="1">
      <c r="A69" s="11"/>
      <c r="B69" s="62"/>
      <c r="C69" s="62"/>
      <c r="D69" s="70" t="str">
        <f>Calcoli!$C$15</f>
        <v>Lug-26</v>
      </c>
      <c r="E69" s="70"/>
      <c r="F69" s="70"/>
      <c r="G69" s="70"/>
      <c r="H69" s="62"/>
      <c r="I69" s="70" t="str">
        <f>Calcoli!$C$16</f>
        <v>Ago-26</v>
      </c>
      <c r="J69" s="70"/>
      <c r="K69" s="62"/>
      <c r="L69" s="70" t="str">
        <f>Calcoli!$C$17</f>
        <v>Set-26</v>
      </c>
      <c r="M69" s="70"/>
      <c r="N69" s="62"/>
      <c r="O69" s="62"/>
      <c r="P69" s="62"/>
      <c r="Q69" s="62"/>
      <c r="R69" s="11"/>
      <c r="S69" s="11"/>
      <c r="T69" s="12"/>
      <c r="U69" s="12"/>
      <c r="V69" s="12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12"/>
      <c r="BD69" s="12"/>
      <c r="BE69" s="12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12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12"/>
      <c r="ED69" s="64"/>
      <c r="EE69" s="64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4"/>
      <c r="EZ69" s="64"/>
      <c r="FA69" s="64"/>
      <c r="FB69" s="64"/>
      <c r="FC69" s="64"/>
      <c r="FD69" s="12"/>
    </row>
    <row r="70" spans="1:160" ht="2.25" customHeight="1">
      <c r="A70" s="11"/>
      <c r="B70" s="62"/>
      <c r="C70" s="62"/>
      <c r="D70" s="70"/>
      <c r="E70" s="70"/>
      <c r="F70" s="70"/>
      <c r="G70" s="70"/>
      <c r="H70" s="62"/>
      <c r="I70" s="70"/>
      <c r="J70" s="70"/>
      <c r="K70" s="62"/>
      <c r="L70" s="70"/>
      <c r="M70" s="70"/>
      <c r="N70" s="62"/>
      <c r="O70" s="62"/>
      <c r="P70" s="62"/>
      <c r="Q70" s="62"/>
      <c r="R70" s="11"/>
      <c r="S70" s="11"/>
      <c r="T70" s="12"/>
      <c r="U70" s="12"/>
      <c r="V70" s="12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12"/>
      <c r="BD70" s="12"/>
      <c r="BE70" s="12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12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12"/>
      <c r="ED70" s="64"/>
      <c r="EE70" s="64"/>
      <c r="EF70" s="64"/>
      <c r="EG70" s="64"/>
      <c r="EH70" s="64"/>
      <c r="EI70" s="64"/>
      <c r="EJ70" s="64"/>
      <c r="EK70" s="64"/>
      <c r="EL70" s="64"/>
      <c r="EM70" s="64"/>
      <c r="EN70" s="64"/>
      <c r="EO70" s="64"/>
      <c r="EP70" s="64"/>
      <c r="EQ70" s="64"/>
      <c r="ER70" s="64"/>
      <c r="ES70" s="64"/>
      <c r="ET70" s="64"/>
      <c r="EU70" s="64"/>
      <c r="EV70" s="64"/>
      <c r="EW70" s="64"/>
      <c r="EX70" s="64"/>
      <c r="EY70" s="64"/>
      <c r="EZ70" s="64"/>
      <c r="FA70" s="64"/>
      <c r="FB70" s="64"/>
      <c r="FC70" s="64"/>
      <c r="FD70" s="12"/>
    </row>
    <row r="71" spans="1:160" ht="1.5" customHeight="1">
      <c r="A71" s="11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11"/>
      <c r="S71" s="11"/>
      <c r="T71" s="12"/>
      <c r="U71" s="12"/>
      <c r="V71" s="12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12"/>
      <c r="BD71" s="12"/>
      <c r="BE71" s="12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12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12"/>
      <c r="ED71" s="64"/>
      <c r="EE71" s="64"/>
      <c r="EF71" s="64"/>
      <c r="EG71" s="64"/>
      <c r="EH71" s="64"/>
      <c r="EI71" s="64"/>
      <c r="EJ71" s="64"/>
      <c r="EK71" s="64"/>
      <c r="EL71" s="64"/>
      <c r="EM71" s="64"/>
      <c r="EN71" s="64"/>
      <c r="EO71" s="64"/>
      <c r="EP71" s="64"/>
      <c r="EQ71" s="64"/>
      <c r="ER71" s="64"/>
      <c r="ES71" s="64"/>
      <c r="ET71" s="64"/>
      <c r="EU71" s="64"/>
      <c r="EV71" s="64"/>
      <c r="EW71" s="64"/>
      <c r="EX71" s="64"/>
      <c r="EY71" s="64"/>
      <c r="EZ71" s="64"/>
      <c r="FA71" s="64"/>
      <c r="FB71" s="64"/>
      <c r="FC71" s="64"/>
      <c r="FD71" s="12"/>
    </row>
    <row r="72" spans="1:160" ht="1.5" customHeight="1">
      <c r="A72" s="11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11"/>
      <c r="S72" s="11"/>
      <c r="T72" s="12"/>
      <c r="U72" s="12"/>
      <c r="V72" s="12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12"/>
      <c r="BD72" s="12"/>
      <c r="BE72" s="12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12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12"/>
      <c r="ED72" s="64"/>
      <c r="EE72" s="64"/>
      <c r="EF72" s="69">
        <f>Calcoli!$A$46</f>
        <v/>
      </c>
      <c r="EG72" s="69"/>
      <c r="EH72" s="69"/>
      <c r="EI72" s="69"/>
      <c r="EJ72" s="69"/>
      <c r="EK72" s="69"/>
      <c r="EL72" s="69"/>
      <c r="EM72" s="69"/>
      <c r="EN72" s="69"/>
      <c r="EO72" s="69"/>
      <c r="EP72" s="69"/>
      <c r="EQ72" s="69"/>
      <c r="ER72" s="69"/>
      <c r="ES72" s="69"/>
      <c r="ET72" s="69"/>
      <c r="EU72" s="69"/>
      <c r="EV72" s="69"/>
      <c r="EW72" s="69"/>
      <c r="EX72" s="69"/>
      <c r="EY72" s="64"/>
      <c r="EZ72" s="64"/>
      <c r="FA72" s="64"/>
      <c r="FB72" s="64"/>
      <c r="FC72" s="64"/>
      <c r="FD72" s="12"/>
    </row>
    <row r="73" spans="1:160" ht="14.25" customHeight="1">
      <c r="A73" s="11"/>
      <c r="B73" s="62"/>
      <c r="C73" s="62"/>
      <c r="D73" s="70" t="str">
        <f>Calcoli!$C$18</f>
        <v>Ott-26</v>
      </c>
      <c r="E73" s="70"/>
      <c r="F73" s="70"/>
      <c r="G73" s="70"/>
      <c r="H73" s="62"/>
      <c r="I73" s="70" t="str">
        <f>Calcoli!$C$19</f>
        <v>Nov-26</v>
      </c>
      <c r="J73" s="70"/>
      <c r="K73" s="62"/>
      <c r="L73" s="70" t="str">
        <f>Calcoli!$C$20</f>
        <v>Dic-26</v>
      </c>
      <c r="M73" s="70"/>
      <c r="N73" s="62"/>
      <c r="O73" s="62"/>
      <c r="P73" s="62"/>
      <c r="Q73" s="62"/>
      <c r="R73" s="11"/>
      <c r="S73" s="11"/>
      <c r="T73" s="12"/>
      <c r="U73" s="12"/>
      <c r="V73" s="12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12"/>
      <c r="BD73" s="12"/>
      <c r="BE73" s="12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12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12"/>
      <c r="ED73" s="64"/>
      <c r="EE73" s="64"/>
      <c r="EF73" s="69"/>
      <c r="EG73" s="69"/>
      <c r="EH73" s="69"/>
      <c r="EI73" s="69"/>
      <c r="EJ73" s="69"/>
      <c r="EK73" s="69"/>
      <c r="EL73" s="69"/>
      <c r="EM73" s="69"/>
      <c r="EN73" s="69"/>
      <c r="EO73" s="69"/>
      <c r="EP73" s="69"/>
      <c r="EQ73" s="69"/>
      <c r="ER73" s="69"/>
      <c r="ES73" s="69"/>
      <c r="ET73" s="69"/>
      <c r="EU73" s="69"/>
      <c r="EV73" s="69"/>
      <c r="EW73" s="69"/>
      <c r="EX73" s="69"/>
      <c r="EY73" s="64"/>
      <c r="EZ73" s="64"/>
      <c r="FA73" s="64"/>
      <c r="FB73" s="64"/>
      <c r="FC73" s="64"/>
      <c r="FD73" s="12"/>
    </row>
    <row r="74" spans="1:160" ht="0.75" customHeight="1">
      <c r="A74" s="11"/>
      <c r="B74" s="62"/>
      <c r="C74" s="62"/>
      <c r="D74" s="70"/>
      <c r="E74" s="70"/>
      <c r="F74" s="70"/>
      <c r="G74" s="70"/>
      <c r="H74" s="62"/>
      <c r="I74" s="70"/>
      <c r="J74" s="70"/>
      <c r="K74" s="62"/>
      <c r="L74" s="70"/>
      <c r="M74" s="70"/>
      <c r="N74" s="62"/>
      <c r="O74" s="62"/>
      <c r="P74" s="62"/>
      <c r="Q74" s="62"/>
      <c r="R74" s="11"/>
      <c r="S74" s="11"/>
      <c r="T74" s="12"/>
      <c r="U74" s="12"/>
      <c r="V74" s="12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12"/>
      <c r="BD74" s="12"/>
      <c r="BE74" s="12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12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12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64"/>
      <c r="EW74" s="64"/>
      <c r="EX74" s="64"/>
      <c r="EY74" s="64"/>
      <c r="EZ74" s="64"/>
      <c r="FA74" s="64"/>
      <c r="FB74" s="64"/>
      <c r="FC74" s="64"/>
      <c r="FD74" s="12"/>
    </row>
    <row r="75" spans="1:160" ht="3" customHeight="1">
      <c r="A75" s="11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11"/>
      <c r="S75" s="11"/>
      <c r="T75" s="12"/>
      <c r="U75" s="12"/>
      <c r="V75" s="12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12"/>
      <c r="BD75" s="12"/>
      <c r="BE75" s="12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12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12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64"/>
      <c r="EW75" s="64"/>
      <c r="EX75" s="64"/>
      <c r="EY75" s="64"/>
      <c r="EZ75" s="64"/>
      <c r="FA75" s="64"/>
      <c r="FB75" s="64"/>
      <c r="FC75" s="64"/>
      <c r="FD75" s="12"/>
    </row>
    <row r="76" spans="1:160" ht="3" customHeight="1">
      <c r="A76" s="11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11"/>
      <c r="S76" s="11"/>
      <c r="T76" s="12"/>
      <c r="U76" s="12"/>
      <c r="V76" s="12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12"/>
      <c r="BD76" s="12"/>
      <c r="BE76" s="12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12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12"/>
      <c r="ED76" s="64"/>
      <c r="EE76" s="64"/>
      <c r="EF76" s="69">
        <f>Calcoli!$A$47</f>
        <v/>
      </c>
      <c r="EG76" s="69"/>
      <c r="EH76" s="69"/>
      <c r="EI76" s="69"/>
      <c r="EJ76" s="69"/>
      <c r="EK76" s="69"/>
      <c r="EL76" s="69"/>
      <c r="EM76" s="69"/>
      <c r="EN76" s="69"/>
      <c r="EO76" s="69"/>
      <c r="EP76" s="69"/>
      <c r="EQ76" s="69"/>
      <c r="ER76" s="69"/>
      <c r="ES76" s="69"/>
      <c r="ET76" s="69"/>
      <c r="EU76" s="69"/>
      <c r="EV76" s="69"/>
      <c r="EW76" s="69"/>
      <c r="EX76" s="69"/>
      <c r="EY76" s="64"/>
      <c r="EZ76" s="64"/>
      <c r="FA76" s="64"/>
      <c r="FB76" s="64"/>
      <c r="FC76" s="64"/>
      <c r="FD76" s="12"/>
    </row>
    <row r="77" spans="1:160" ht="7.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2"/>
      <c r="U77" s="12"/>
      <c r="V77" s="12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12"/>
      <c r="BD77" s="12"/>
      <c r="BE77" s="12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12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12"/>
      <c r="ED77" s="64"/>
      <c r="EE77" s="64"/>
      <c r="EF77" s="69"/>
      <c r="EG77" s="69"/>
      <c r="EH77" s="69"/>
      <c r="EI77" s="69"/>
      <c r="EJ77" s="69"/>
      <c r="EK77" s="69"/>
      <c r="EL77" s="69"/>
      <c r="EM77" s="69"/>
      <c r="EN77" s="69"/>
      <c r="EO77" s="69"/>
      <c r="EP77" s="69"/>
      <c r="EQ77" s="69"/>
      <c r="ER77" s="69"/>
      <c r="ES77" s="69"/>
      <c r="ET77" s="69"/>
      <c r="EU77" s="69"/>
      <c r="EV77" s="69"/>
      <c r="EW77" s="69"/>
      <c r="EX77" s="69"/>
      <c r="EY77" s="64"/>
      <c r="EZ77" s="64"/>
      <c r="FA77" s="64"/>
      <c r="FB77" s="64"/>
      <c r="FC77" s="64"/>
      <c r="FD77" s="12"/>
    </row>
    <row r="78" spans="1:160" ht="1.5" customHeight="1">
      <c r="A78" s="11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11"/>
      <c r="S78" s="11"/>
      <c r="T78" s="12"/>
      <c r="U78" s="12"/>
      <c r="V78" s="12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12"/>
      <c r="BD78" s="12"/>
      <c r="BE78" s="12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12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12"/>
      <c r="ED78" s="64"/>
      <c r="EE78" s="64"/>
      <c r="EF78" s="69"/>
      <c r="EG78" s="69"/>
      <c r="EH78" s="69"/>
      <c r="EI78" s="69"/>
      <c r="EJ78" s="69"/>
      <c r="EK78" s="69"/>
      <c r="EL78" s="69"/>
      <c r="EM78" s="69"/>
      <c r="EN78" s="69"/>
      <c r="EO78" s="69"/>
      <c r="EP78" s="69"/>
      <c r="EQ78" s="69"/>
      <c r="ER78" s="69"/>
      <c r="ES78" s="69"/>
      <c r="ET78" s="69"/>
      <c r="EU78" s="69"/>
      <c r="EV78" s="69"/>
      <c r="EW78" s="69"/>
      <c r="EX78" s="69"/>
      <c r="EY78" s="64"/>
      <c r="EZ78" s="64"/>
      <c r="FA78" s="64"/>
      <c r="FB78" s="64"/>
      <c r="FC78" s="64"/>
      <c r="FD78" s="12"/>
    </row>
    <row r="79" spans="1:160" ht="3.75" customHeight="1">
      <c r="A79" s="11"/>
      <c r="B79" s="62"/>
      <c r="C79" s="62"/>
      <c r="D79" s="62"/>
      <c r="E79" s="62"/>
      <c r="F79" s="63" t="s">
        <v>15</v>
      </c>
      <c r="G79" s="63"/>
      <c r="H79" s="63"/>
      <c r="I79" s="63"/>
      <c r="J79" s="63"/>
      <c r="K79" s="63"/>
      <c r="L79" s="63"/>
      <c r="M79" s="63"/>
      <c r="N79" s="63"/>
      <c r="O79" s="62"/>
      <c r="P79" s="62"/>
      <c r="Q79" s="62"/>
      <c r="R79" s="11"/>
      <c r="S79" s="11"/>
      <c r="T79" s="12"/>
      <c r="U79" s="12"/>
      <c r="V79" s="12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12"/>
      <c r="BD79" s="12"/>
      <c r="BE79" s="12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12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12"/>
      <c r="ED79" s="64"/>
      <c r="EE79" s="64"/>
      <c r="EF79" s="69"/>
      <c r="EG79" s="69"/>
      <c r="EH79" s="69"/>
      <c r="EI79" s="69"/>
      <c r="EJ79" s="69"/>
      <c r="EK79" s="69"/>
      <c r="EL79" s="69"/>
      <c r="EM79" s="69"/>
      <c r="EN79" s="69"/>
      <c r="EO79" s="69"/>
      <c r="EP79" s="69"/>
      <c r="EQ79" s="69"/>
      <c r="ER79" s="69"/>
      <c r="ES79" s="69"/>
      <c r="ET79" s="69"/>
      <c r="EU79" s="69"/>
      <c r="EV79" s="69"/>
      <c r="EW79" s="69"/>
      <c r="EX79" s="69"/>
      <c r="EY79" s="64"/>
      <c r="EZ79" s="64"/>
      <c r="FA79" s="64"/>
      <c r="FB79" s="64"/>
      <c r="FC79" s="64"/>
      <c r="FD79" s="12"/>
    </row>
    <row r="80" spans="1:160" ht="0.75" customHeight="1">
      <c r="A80" s="11"/>
      <c r="B80" s="62"/>
      <c r="C80" s="62"/>
      <c r="D80" s="62"/>
      <c r="E80" s="62"/>
      <c r="F80" s="63"/>
      <c r="G80" s="63"/>
      <c r="H80" s="63"/>
      <c r="I80" s="63"/>
      <c r="J80" s="63"/>
      <c r="K80" s="63"/>
      <c r="L80" s="63"/>
      <c r="M80" s="63"/>
      <c r="N80" s="63"/>
      <c r="O80" s="62"/>
      <c r="P80" s="62"/>
      <c r="Q80" s="62"/>
      <c r="R80" s="11"/>
      <c r="S80" s="11"/>
      <c r="T80" s="12"/>
      <c r="U80" s="12"/>
      <c r="V80" s="12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12"/>
      <c r="BD80" s="12"/>
      <c r="BE80" s="12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12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12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64"/>
      <c r="EW80" s="64"/>
      <c r="EX80" s="64"/>
      <c r="EY80" s="64"/>
      <c r="EZ80" s="64"/>
      <c r="FA80" s="64"/>
      <c r="FB80" s="64"/>
      <c r="FC80" s="64"/>
      <c r="FD80" s="12"/>
    </row>
    <row r="81" spans="1:160" ht="3" customHeight="1">
      <c r="A81" s="11"/>
      <c r="B81" s="62"/>
      <c r="C81" s="62"/>
      <c r="D81" s="62"/>
      <c r="E81" s="62"/>
      <c r="F81" s="63"/>
      <c r="G81" s="63"/>
      <c r="H81" s="63"/>
      <c r="I81" s="63"/>
      <c r="J81" s="63"/>
      <c r="K81" s="63"/>
      <c r="L81" s="63"/>
      <c r="M81" s="63"/>
      <c r="N81" s="63"/>
      <c r="O81" s="62"/>
      <c r="P81" s="62"/>
      <c r="Q81" s="62"/>
      <c r="R81" s="11"/>
      <c r="S81" s="11"/>
      <c r="T81" s="12"/>
      <c r="U81" s="12"/>
      <c r="V81" s="12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12"/>
      <c r="BD81" s="12"/>
      <c r="BE81" s="12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12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12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64"/>
      <c r="EW81" s="64"/>
      <c r="EX81" s="64"/>
      <c r="EY81" s="64"/>
      <c r="EZ81" s="64"/>
      <c r="FA81" s="64"/>
      <c r="FB81" s="64"/>
      <c r="FC81" s="64"/>
      <c r="FD81" s="12"/>
    </row>
    <row r="82" spans="1:160" ht="10.5" customHeight="1">
      <c r="A82" s="11"/>
      <c r="B82" s="62"/>
      <c r="C82" s="62"/>
      <c r="D82" s="62"/>
      <c r="E82" s="62"/>
      <c r="F82" s="63"/>
      <c r="G82" s="63"/>
      <c r="H82" s="63"/>
      <c r="I82" s="63"/>
      <c r="J82" s="63"/>
      <c r="K82" s="63"/>
      <c r="L82" s="63"/>
      <c r="M82" s="63"/>
      <c r="N82" s="63"/>
      <c r="O82" s="62"/>
      <c r="P82" s="62"/>
      <c r="Q82" s="62"/>
      <c r="R82" s="11"/>
      <c r="S82" s="11"/>
      <c r="T82" s="12"/>
      <c r="U82" s="12"/>
      <c r="V82" s="12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12"/>
      <c r="BD82" s="12"/>
      <c r="BE82" s="12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12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12"/>
      <c r="ED82" s="64"/>
      <c r="EE82" s="64"/>
      <c r="EF82" s="69">
        <f>Calcoli!$A$48</f>
        <v/>
      </c>
      <c r="EG82" s="69"/>
      <c r="EH82" s="69"/>
      <c r="EI82" s="69"/>
      <c r="EJ82" s="69"/>
      <c r="EK82" s="69"/>
      <c r="EL82" s="69"/>
      <c r="EM82" s="69"/>
      <c r="EN82" s="69"/>
      <c r="EO82" s="69"/>
      <c r="EP82" s="69"/>
      <c r="EQ82" s="69"/>
      <c r="ER82" s="69"/>
      <c r="ES82" s="69"/>
      <c r="ET82" s="69"/>
      <c r="EU82" s="69"/>
      <c r="EV82" s="69"/>
      <c r="EW82" s="69"/>
      <c r="EX82" s="69"/>
      <c r="EY82" s="64"/>
      <c r="EZ82" s="64"/>
      <c r="FA82" s="64"/>
      <c r="FB82" s="64"/>
      <c r="FC82" s="64"/>
      <c r="FD82" s="12"/>
    </row>
    <row r="83" spans="1:160" ht="3" customHeight="1">
      <c r="A83" s="11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11"/>
      <c r="S83" s="11"/>
      <c r="T83" s="12"/>
      <c r="U83" s="12"/>
      <c r="V83" s="12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12"/>
      <c r="BD83" s="12"/>
      <c r="BE83" s="12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12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12"/>
      <c r="ED83" s="64"/>
      <c r="EE83" s="64"/>
      <c r="EF83" s="69"/>
      <c r="EG83" s="69"/>
      <c r="EH83" s="69"/>
      <c r="EI83" s="69"/>
      <c r="EJ83" s="69"/>
      <c r="EK83" s="69"/>
      <c r="EL83" s="69"/>
      <c r="EM83" s="69"/>
      <c r="EN83" s="69"/>
      <c r="EO83" s="69"/>
      <c r="EP83" s="69"/>
      <c r="EQ83" s="69"/>
      <c r="ER83" s="69"/>
      <c r="ES83" s="69"/>
      <c r="ET83" s="69"/>
      <c r="EU83" s="69"/>
      <c r="EV83" s="69"/>
      <c r="EW83" s="69"/>
      <c r="EX83" s="69"/>
      <c r="EY83" s="64"/>
      <c r="EZ83" s="64"/>
      <c r="FA83" s="64"/>
      <c r="FB83" s="64"/>
      <c r="FC83" s="64"/>
      <c r="FD83" s="12"/>
    </row>
    <row r="84" spans="1:160" ht="2.25" customHeight="1">
      <c r="A84" s="11"/>
      <c r="B84" s="62"/>
      <c r="C84" s="62"/>
      <c r="D84" s="70">
        <f>Calcoli!$A$36</f>
        <v/>
      </c>
      <c r="E84" s="70"/>
      <c r="F84" s="70"/>
      <c r="G84" s="70"/>
      <c r="H84" s="70"/>
      <c r="I84" s="70"/>
      <c r="J84" s="70"/>
      <c r="K84" s="70"/>
      <c r="L84" s="70"/>
      <c r="M84" s="70"/>
      <c r="N84" s="62"/>
      <c r="O84" s="62"/>
      <c r="P84" s="62"/>
      <c r="Q84" s="62"/>
      <c r="R84" s="11"/>
      <c r="S84" s="11"/>
      <c r="T84" s="12"/>
      <c r="U84" s="12"/>
      <c r="V84" s="12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12"/>
      <c r="BD84" s="12"/>
      <c r="BE84" s="12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12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12"/>
      <c r="ED84" s="64"/>
      <c r="EE84" s="64"/>
      <c r="EF84" s="69"/>
      <c r="EG84" s="69"/>
      <c r="EH84" s="69"/>
      <c r="EI84" s="69"/>
      <c r="EJ84" s="69"/>
      <c r="EK84" s="69"/>
      <c r="EL84" s="69"/>
      <c r="EM84" s="69"/>
      <c r="EN84" s="69"/>
      <c r="EO84" s="69"/>
      <c r="EP84" s="69"/>
      <c r="EQ84" s="69"/>
      <c r="ER84" s="69"/>
      <c r="ES84" s="69"/>
      <c r="ET84" s="69"/>
      <c r="EU84" s="69"/>
      <c r="EV84" s="69"/>
      <c r="EW84" s="69"/>
      <c r="EX84" s="69"/>
      <c r="EY84" s="64"/>
      <c r="EZ84" s="64"/>
      <c r="FA84" s="64"/>
      <c r="FB84" s="64"/>
      <c r="FC84" s="64"/>
      <c r="FD84" s="12"/>
    </row>
    <row r="85" spans="1:160" ht="3.75" customHeight="1">
      <c r="A85" s="11"/>
      <c r="B85" s="62"/>
      <c r="C85" s="62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2"/>
      <c r="O85" s="62"/>
      <c r="P85" s="62"/>
      <c r="Q85" s="62"/>
      <c r="R85" s="11"/>
      <c r="S85" s="11"/>
      <c r="T85" s="12"/>
      <c r="U85" s="12"/>
      <c r="V85" s="12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12"/>
      <c r="BD85" s="12"/>
      <c r="BE85" s="12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12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12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64"/>
      <c r="EW85" s="64"/>
      <c r="EX85" s="64"/>
      <c r="EY85" s="64"/>
      <c r="EZ85" s="64"/>
      <c r="FA85" s="64"/>
      <c r="FB85" s="64"/>
      <c r="FC85" s="64"/>
      <c r="FD85" s="12"/>
    </row>
    <row r="86" spans="1:160" ht="9" customHeight="1">
      <c r="A86" s="11"/>
      <c r="B86" s="62"/>
      <c r="C86" s="62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62"/>
      <c r="O86" s="62"/>
      <c r="P86" s="62"/>
      <c r="Q86" s="62"/>
      <c r="R86" s="11"/>
      <c r="S86" s="11"/>
      <c r="T86" s="12"/>
      <c r="U86" s="12"/>
      <c r="V86" s="12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12"/>
      <c r="BD86" s="12"/>
      <c r="BE86" s="12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12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12"/>
      <c r="ED86" s="64"/>
      <c r="EE86" s="64"/>
      <c r="EF86" s="69">
        <f>Calcoli!$A$49</f>
        <v/>
      </c>
      <c r="EG86" s="69"/>
      <c r="EH86" s="69"/>
      <c r="EI86" s="69"/>
      <c r="EJ86" s="69"/>
      <c r="EK86" s="69"/>
      <c r="EL86" s="69"/>
      <c r="EM86" s="69"/>
      <c r="EN86" s="69"/>
      <c r="EO86" s="69"/>
      <c r="EP86" s="69"/>
      <c r="EQ86" s="69"/>
      <c r="ER86" s="69"/>
      <c r="ES86" s="69"/>
      <c r="ET86" s="69"/>
      <c r="EU86" s="69"/>
      <c r="EV86" s="69"/>
      <c r="EW86" s="69"/>
      <c r="EX86" s="69"/>
      <c r="EY86" s="64"/>
      <c r="EZ86" s="64"/>
      <c r="FA86" s="64"/>
      <c r="FB86" s="64"/>
      <c r="FC86" s="64"/>
      <c r="FD86" s="12"/>
    </row>
    <row r="87" spans="1:160" ht="3" customHeight="1">
      <c r="A87" s="11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11"/>
      <c r="S87" s="11"/>
      <c r="T87" s="12"/>
      <c r="U87" s="12"/>
      <c r="V87" s="12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12"/>
      <c r="BD87" s="12"/>
      <c r="BE87" s="12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12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12"/>
      <c r="ED87" s="64"/>
      <c r="EE87" s="64"/>
      <c r="EF87" s="69"/>
      <c r="EG87" s="69"/>
      <c r="EH87" s="69"/>
      <c r="EI87" s="69"/>
      <c r="EJ87" s="69"/>
      <c r="EK87" s="69"/>
      <c r="EL87" s="69"/>
      <c r="EM87" s="69"/>
      <c r="EN87" s="69"/>
      <c r="EO87" s="69"/>
      <c r="EP87" s="69"/>
      <c r="EQ87" s="69"/>
      <c r="ER87" s="69"/>
      <c r="ES87" s="69"/>
      <c r="ET87" s="69"/>
      <c r="EU87" s="69"/>
      <c r="EV87" s="69"/>
      <c r="EW87" s="69"/>
      <c r="EX87" s="69"/>
      <c r="EY87" s="64"/>
      <c r="EZ87" s="64"/>
      <c r="FA87" s="64"/>
      <c r="FB87" s="64"/>
      <c r="FC87" s="64"/>
      <c r="FD87" s="12"/>
    </row>
    <row r="88" spans="1:160" ht="3.75" customHeight="1">
      <c r="A88" s="11"/>
      <c r="B88" s="62"/>
      <c r="C88" s="62"/>
      <c r="D88" s="70">
        <f>Calcoli!$A$37</f>
        <v/>
      </c>
      <c r="E88" s="70"/>
      <c r="F88" s="70"/>
      <c r="G88" s="70"/>
      <c r="H88" s="70"/>
      <c r="I88" s="70"/>
      <c r="J88" s="70"/>
      <c r="K88" s="70"/>
      <c r="L88" s="70"/>
      <c r="M88" s="70"/>
      <c r="N88" s="62"/>
      <c r="O88" s="62"/>
      <c r="P88" s="62"/>
      <c r="Q88" s="62"/>
      <c r="R88" s="11"/>
      <c r="S88" s="11"/>
      <c r="T88" s="12"/>
      <c r="U88" s="12"/>
      <c r="V88" s="12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12"/>
      <c r="BD88" s="12"/>
      <c r="BE88" s="12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12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12"/>
      <c r="ED88" s="64"/>
      <c r="EE88" s="64"/>
      <c r="EF88" s="69"/>
      <c r="EG88" s="69"/>
      <c r="EH88" s="69"/>
      <c r="EI88" s="69"/>
      <c r="EJ88" s="69"/>
      <c r="EK88" s="69"/>
      <c r="EL88" s="69"/>
      <c r="EM88" s="69"/>
      <c r="EN88" s="69"/>
      <c r="EO88" s="69"/>
      <c r="EP88" s="69"/>
      <c r="EQ88" s="69"/>
      <c r="ER88" s="69"/>
      <c r="ES88" s="69"/>
      <c r="ET88" s="69"/>
      <c r="EU88" s="69"/>
      <c r="EV88" s="69"/>
      <c r="EW88" s="69"/>
      <c r="EX88" s="69"/>
      <c r="EY88" s="64"/>
      <c r="EZ88" s="64"/>
      <c r="FA88" s="64"/>
      <c r="FB88" s="64"/>
      <c r="FC88" s="64"/>
      <c r="FD88" s="12"/>
    </row>
    <row r="89" spans="1:160" ht="3.75" customHeight="1">
      <c r="A89" s="11"/>
      <c r="B89" s="62"/>
      <c r="C89" s="62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62"/>
      <c r="O89" s="62"/>
      <c r="P89" s="62"/>
      <c r="Q89" s="62"/>
      <c r="R89" s="11"/>
      <c r="S89" s="11"/>
      <c r="T89" s="12"/>
      <c r="U89" s="12"/>
      <c r="V89" s="12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12"/>
      <c r="BD89" s="12"/>
      <c r="BE89" s="12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12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12"/>
      <c r="ED89" s="64"/>
      <c r="EE89" s="64"/>
      <c r="EF89" s="64"/>
      <c r="EG89" s="64"/>
      <c r="EH89" s="64"/>
      <c r="EI89" s="64"/>
      <c r="EJ89" s="64"/>
      <c r="EK89" s="64"/>
      <c r="EL89" s="64"/>
      <c r="EM89" s="64"/>
      <c r="EN89" s="64"/>
      <c r="EO89" s="64"/>
      <c r="EP89" s="64"/>
      <c r="EQ89" s="64"/>
      <c r="ER89" s="64"/>
      <c r="ES89" s="64"/>
      <c r="ET89" s="64"/>
      <c r="EU89" s="64"/>
      <c r="EV89" s="64"/>
      <c r="EW89" s="64"/>
      <c r="EX89" s="64"/>
      <c r="EY89" s="64"/>
      <c r="EZ89" s="64"/>
      <c r="FA89" s="64"/>
      <c r="FB89" s="64"/>
      <c r="FC89" s="64"/>
      <c r="FD89" s="12"/>
    </row>
    <row r="90" spans="1:160" ht="7.5" customHeight="1">
      <c r="A90" s="11"/>
      <c r="B90" s="62"/>
      <c r="C90" s="62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62"/>
      <c r="O90" s="62"/>
      <c r="P90" s="62"/>
      <c r="Q90" s="62"/>
      <c r="R90" s="11"/>
      <c r="S90" s="11"/>
      <c r="T90" s="12"/>
      <c r="U90" s="12"/>
      <c r="V90" s="12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12"/>
      <c r="BD90" s="12"/>
      <c r="BE90" s="12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12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12"/>
      <c r="ED90" s="64"/>
      <c r="EE90" s="64"/>
      <c r="EF90" s="69">
        <f>Calcoli!$A$50</f>
        <v/>
      </c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4"/>
      <c r="EZ90" s="64"/>
      <c r="FA90" s="64"/>
      <c r="FB90" s="64"/>
      <c r="FC90" s="64"/>
      <c r="FD90" s="12"/>
    </row>
    <row r="91" spans="1:160" ht="3" customHeight="1">
      <c r="A91" s="11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11"/>
      <c r="S91" s="11"/>
      <c r="T91" s="12"/>
      <c r="U91" s="12"/>
      <c r="V91" s="12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12"/>
      <c r="BD91" s="12"/>
      <c r="BE91" s="12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12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12"/>
      <c r="ED91" s="64"/>
      <c r="EE91" s="64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4"/>
      <c r="EZ91" s="64"/>
      <c r="FA91" s="64"/>
      <c r="FB91" s="64"/>
      <c r="FC91" s="64"/>
      <c r="FD91" s="12"/>
    </row>
    <row r="92" spans="1:160" ht="5.25" customHeight="1">
      <c r="A92" s="11"/>
      <c r="B92" s="62"/>
      <c r="C92" s="62"/>
      <c r="D92" s="70">
        <f>Calcoli!$A$38</f>
        <v/>
      </c>
      <c r="E92" s="70"/>
      <c r="F92" s="70"/>
      <c r="G92" s="70"/>
      <c r="H92" s="70"/>
      <c r="I92" s="70"/>
      <c r="J92" s="70"/>
      <c r="K92" s="70"/>
      <c r="L92" s="70"/>
      <c r="M92" s="70"/>
      <c r="N92" s="62"/>
      <c r="O92" s="62"/>
      <c r="P92" s="62"/>
      <c r="Q92" s="62"/>
      <c r="R92" s="11"/>
      <c r="S92" s="11"/>
      <c r="T92" s="12"/>
      <c r="U92" s="12"/>
      <c r="V92" s="12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12"/>
      <c r="BD92" s="12"/>
      <c r="BE92" s="12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12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12"/>
      <c r="ED92" s="64"/>
      <c r="EE92" s="64"/>
      <c r="EF92" s="69"/>
      <c r="EG92" s="69"/>
      <c r="EH92" s="69"/>
      <c r="EI92" s="69"/>
      <c r="EJ92" s="69"/>
      <c r="EK92" s="69"/>
      <c r="EL92" s="69"/>
      <c r="EM92" s="69"/>
      <c r="EN92" s="69"/>
      <c r="EO92" s="69"/>
      <c r="EP92" s="69"/>
      <c r="EQ92" s="69"/>
      <c r="ER92" s="69"/>
      <c r="ES92" s="69"/>
      <c r="ET92" s="69"/>
      <c r="EU92" s="69"/>
      <c r="EV92" s="69"/>
      <c r="EW92" s="69"/>
      <c r="EX92" s="69"/>
      <c r="EY92" s="64"/>
      <c r="EZ92" s="64"/>
      <c r="FA92" s="64"/>
      <c r="FB92" s="64"/>
      <c r="FC92" s="64"/>
      <c r="FD92" s="12"/>
    </row>
    <row r="93" spans="1:160" ht="0.75" customHeight="1">
      <c r="A93" s="11"/>
      <c r="B93" s="62"/>
      <c r="C93" s="62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62"/>
      <c r="O93" s="62"/>
      <c r="P93" s="62"/>
      <c r="Q93" s="62"/>
      <c r="R93" s="11"/>
      <c r="S93" s="11"/>
      <c r="T93" s="12"/>
      <c r="U93" s="12"/>
      <c r="V93" s="12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12"/>
      <c r="BD93" s="12"/>
      <c r="BE93" s="12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12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12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64"/>
      <c r="ES93" s="64"/>
      <c r="ET93" s="64"/>
      <c r="EU93" s="64"/>
      <c r="EV93" s="64"/>
      <c r="EW93" s="64"/>
      <c r="EX93" s="64"/>
      <c r="EY93" s="64"/>
      <c r="EZ93" s="64"/>
      <c r="FA93" s="64"/>
      <c r="FB93" s="64"/>
      <c r="FC93" s="64"/>
      <c r="FD93" s="12"/>
    </row>
    <row r="94" spans="1:160" ht="7.5" customHeight="1">
      <c r="A94" s="11"/>
      <c r="B94" s="62"/>
      <c r="C94" s="62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62"/>
      <c r="O94" s="62"/>
      <c r="P94" s="62"/>
      <c r="Q94" s="62"/>
      <c r="R94" s="11"/>
      <c r="S94" s="11"/>
      <c r="T94" s="12"/>
      <c r="U94" s="12"/>
      <c r="V94" s="12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12"/>
      <c r="BD94" s="12"/>
      <c r="BE94" s="12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12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12"/>
      <c r="ED94" s="64"/>
      <c r="EE94" s="64"/>
      <c r="EF94" s="64"/>
      <c r="EG94" s="64"/>
      <c r="EH94" s="64"/>
      <c r="EI94" s="64"/>
      <c r="EJ94" s="64"/>
      <c r="EK94" s="64"/>
      <c r="EL94" s="64"/>
      <c r="EM94" s="64"/>
      <c r="EN94" s="64"/>
      <c r="EO94" s="64"/>
      <c r="EP94" s="64"/>
      <c r="EQ94" s="64"/>
      <c r="ER94" s="64"/>
      <c r="ES94" s="64"/>
      <c r="ET94" s="64"/>
      <c r="EU94" s="64"/>
      <c r="EV94" s="64"/>
      <c r="EW94" s="64"/>
      <c r="EX94" s="64"/>
      <c r="EY94" s="64"/>
      <c r="EZ94" s="64"/>
      <c r="FA94" s="64"/>
      <c r="FB94" s="64"/>
      <c r="FC94" s="64"/>
      <c r="FD94" s="12"/>
    </row>
    <row r="95" spans="1:160" ht="1.5" customHeight="1">
      <c r="A95" s="11"/>
      <c r="B95" s="62"/>
      <c r="C95" s="62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62"/>
      <c r="O95" s="62"/>
      <c r="P95" s="62"/>
      <c r="Q95" s="62"/>
      <c r="R95" s="11"/>
      <c r="S95" s="11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</row>
    <row r="96" spans="1:160" ht="3" customHeight="1">
      <c r="A96" s="11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11"/>
      <c r="S96" s="11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</row>
    <row r="97" spans="1:160" ht="3" customHeight="1">
      <c r="A97" s="11"/>
      <c r="B97" s="62"/>
      <c r="C97" s="62"/>
      <c r="D97" s="70">
        <f>Calcoli!$A$39</f>
        <v/>
      </c>
      <c r="E97" s="70"/>
      <c r="F97" s="70"/>
      <c r="G97" s="70"/>
      <c r="H97" s="70"/>
      <c r="I97" s="70"/>
      <c r="J97" s="70"/>
      <c r="K97" s="70"/>
      <c r="L97" s="70"/>
      <c r="M97" s="70"/>
      <c r="N97" s="62"/>
      <c r="O97" s="62"/>
      <c r="P97" s="62"/>
      <c r="Q97" s="62"/>
      <c r="R97" s="11"/>
      <c r="S97" s="11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</row>
    <row r="98" spans="1:160" ht="3" customHeight="1">
      <c r="A98" s="11"/>
      <c r="B98" s="62"/>
      <c r="C98" s="62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62"/>
      <c r="O98" s="62"/>
      <c r="P98" s="62"/>
      <c r="Q98" s="62"/>
      <c r="R98" s="11"/>
      <c r="S98" s="11"/>
      <c r="T98" s="12"/>
      <c r="U98" s="12"/>
      <c r="V98" s="12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12"/>
      <c r="BD98" s="12"/>
      <c r="BE98" s="12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12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12"/>
      <c r="ED98" s="64"/>
      <c r="EE98" s="64"/>
      <c r="EF98" s="64"/>
      <c r="EG98" s="64"/>
      <c r="EH98" s="64"/>
      <c r="EI98" s="64"/>
      <c r="EJ98" s="64"/>
      <c r="EK98" s="64"/>
      <c r="EL98" s="64"/>
      <c r="EM98" s="64"/>
      <c r="EN98" s="64"/>
      <c r="EO98" s="64"/>
      <c r="EP98" s="64"/>
      <c r="EQ98" s="64"/>
      <c r="ER98" s="64"/>
      <c r="ES98" s="64"/>
      <c r="ET98" s="64"/>
      <c r="EU98" s="64"/>
      <c r="EV98" s="64"/>
      <c r="EW98" s="64"/>
      <c r="EX98" s="64"/>
      <c r="EY98" s="64"/>
      <c r="EZ98" s="64"/>
      <c r="FA98" s="64"/>
      <c r="FB98" s="64"/>
      <c r="FC98" s="64"/>
      <c r="FD98" s="12"/>
    </row>
    <row r="99" spans="1:160" ht="1.5" customHeight="1">
      <c r="A99" s="11"/>
      <c r="B99" s="62"/>
      <c r="C99" s="62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62"/>
      <c r="O99" s="62"/>
      <c r="P99" s="62"/>
      <c r="Q99" s="62"/>
      <c r="R99" s="11"/>
      <c r="S99" s="11"/>
      <c r="T99" s="12"/>
      <c r="U99" s="12"/>
      <c r="V99" s="12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12"/>
      <c r="BD99" s="12"/>
      <c r="BE99" s="12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12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12"/>
      <c r="ED99" s="64"/>
      <c r="EE99" s="64"/>
      <c r="EF99" s="64"/>
      <c r="EG99" s="64"/>
      <c r="EH99" s="65" t="s">
        <v>158</v>
      </c>
      <c r="EI99" s="65"/>
      <c r="EJ99" s="65"/>
      <c r="EK99" s="65"/>
      <c r="EL99" s="64"/>
      <c r="EM99" s="64"/>
      <c r="EN99" s="64"/>
      <c r="EO99" s="64"/>
      <c r="EP99" s="64"/>
      <c r="EQ99" s="64"/>
      <c r="ER99" s="64"/>
      <c r="ES99" s="64"/>
      <c r="ET99" s="64"/>
      <c r="EU99" s="64"/>
      <c r="EV99" s="64"/>
      <c r="EW99" s="64"/>
      <c r="EX99" s="64"/>
      <c r="EY99" s="64"/>
      <c r="EZ99" s="64"/>
      <c r="FA99" s="64"/>
      <c r="FB99" s="64"/>
      <c r="FC99" s="64"/>
      <c r="FD99" s="12"/>
    </row>
    <row r="100" spans="1:160" ht="0.75" customHeight="1">
      <c r="A100" s="11"/>
      <c r="B100" s="62"/>
      <c r="C100" s="62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62"/>
      <c r="O100" s="62"/>
      <c r="P100" s="62"/>
      <c r="Q100" s="62"/>
      <c r="R100" s="11"/>
      <c r="S100" s="11"/>
      <c r="T100" s="12"/>
      <c r="U100" s="12"/>
      <c r="V100" s="12"/>
      <c r="W100" s="20"/>
      <c r="X100" s="20"/>
      <c r="Y100" s="20"/>
      <c r="Z100" s="20"/>
      <c r="AA100" s="21" t="s">
        <v>155</v>
      </c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0"/>
      <c r="BC100" s="12"/>
      <c r="BD100" s="12"/>
      <c r="BE100" s="12"/>
      <c r="BF100" s="20"/>
      <c r="BG100" s="20"/>
      <c r="BH100" s="20"/>
      <c r="BI100" s="20"/>
      <c r="BJ100" s="20"/>
      <c r="BK100" s="21" t="s">
        <v>156</v>
      </c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0"/>
      <c r="CQ100" s="20"/>
      <c r="CR100" s="12"/>
      <c r="CS100" s="20"/>
      <c r="CT100" s="20"/>
      <c r="CU100" s="20"/>
      <c r="CV100" s="21" t="s">
        <v>157</v>
      </c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0"/>
      <c r="EB100" s="20"/>
      <c r="EC100" s="12"/>
      <c r="ED100" s="64"/>
      <c r="EE100" s="64"/>
      <c r="EF100" s="64"/>
      <c r="EG100" s="64"/>
      <c r="EH100" s="65"/>
      <c r="EI100" s="65"/>
      <c r="EJ100" s="65"/>
      <c r="EK100" s="65"/>
      <c r="EL100" s="64"/>
      <c r="EM100" s="64"/>
      <c r="EN100" s="64"/>
      <c r="EO100" s="64"/>
      <c r="EP100" s="64"/>
      <c r="EQ100" s="64"/>
      <c r="ER100" s="64"/>
      <c r="ES100" s="64"/>
      <c r="ET100" s="64"/>
      <c r="EU100" s="64"/>
      <c r="EV100" s="64"/>
      <c r="EW100" s="64"/>
      <c r="EX100" s="64"/>
      <c r="EY100" s="64"/>
      <c r="EZ100" s="64"/>
      <c r="FA100" s="64"/>
      <c r="FB100" s="64"/>
      <c r="FC100" s="64"/>
      <c r="FD100" s="12"/>
    </row>
    <row r="101" spans="1:160" ht="2.25" customHeight="1">
      <c r="A101" s="11"/>
      <c r="B101" s="62"/>
      <c r="C101" s="62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62"/>
      <c r="O101" s="62"/>
      <c r="P101" s="62"/>
      <c r="Q101" s="62"/>
      <c r="R101" s="11"/>
      <c r="S101" s="11"/>
      <c r="T101" s="12"/>
      <c r="U101" s="12"/>
      <c r="V101" s="12"/>
      <c r="W101" s="20"/>
      <c r="X101" s="20"/>
      <c r="Y101" s="20"/>
      <c r="Z101" s="20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0"/>
      <c r="BC101" s="12"/>
      <c r="BD101" s="12"/>
      <c r="BE101" s="12"/>
      <c r="BF101" s="20"/>
      <c r="BG101" s="20"/>
      <c r="BH101" s="20"/>
      <c r="BI101" s="20"/>
      <c r="BJ101" s="20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0"/>
      <c r="CQ101" s="20"/>
      <c r="CR101" s="12"/>
      <c r="CS101" s="20"/>
      <c r="CT101" s="20"/>
      <c r="CU101" s="20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0"/>
      <c r="EB101" s="20"/>
      <c r="EC101" s="12"/>
      <c r="ED101" s="64"/>
      <c r="EE101" s="64"/>
      <c r="EF101" s="64"/>
      <c r="EG101" s="64"/>
      <c r="EH101" s="65"/>
      <c r="EI101" s="65"/>
      <c r="EJ101" s="65"/>
      <c r="EK101" s="65"/>
      <c r="EL101" s="64"/>
      <c r="EM101" s="66" t="s">
        <v>123</v>
      </c>
      <c r="EN101" s="66"/>
      <c r="EO101" s="66"/>
      <c r="EP101" s="66"/>
      <c r="EQ101" s="66"/>
      <c r="ER101" s="66"/>
      <c r="ES101" s="66"/>
      <c r="ET101" s="66"/>
      <c r="EU101" s="66"/>
      <c r="EV101" s="66"/>
      <c r="EW101" s="67" t="s">
        <v>129</v>
      </c>
      <c r="EX101" s="67"/>
      <c r="EY101" s="67"/>
      <c r="EZ101" s="67"/>
      <c r="FA101" s="64"/>
      <c r="FB101" s="64"/>
      <c r="FC101" s="64"/>
      <c r="FD101" s="12"/>
    </row>
    <row r="102" spans="1:160" ht="4.5" customHeight="1">
      <c r="A102" s="11"/>
      <c r="B102" s="62"/>
      <c r="C102" s="62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62"/>
      <c r="O102" s="62"/>
      <c r="P102" s="62"/>
      <c r="Q102" s="62"/>
      <c r="R102" s="11"/>
      <c r="S102" s="11"/>
      <c r="T102" s="12"/>
      <c r="U102" s="12"/>
      <c r="V102" s="12"/>
      <c r="W102" s="20"/>
      <c r="X102" s="20"/>
      <c r="Y102" s="20"/>
      <c r="Z102" s="20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0"/>
      <c r="BC102" s="12"/>
      <c r="BD102" s="12"/>
      <c r="BE102" s="12"/>
      <c r="BF102" s="20"/>
      <c r="BG102" s="20"/>
      <c r="BH102" s="20"/>
      <c r="BI102" s="20"/>
      <c r="BJ102" s="20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0"/>
      <c r="CQ102" s="20"/>
      <c r="CR102" s="12"/>
      <c r="CS102" s="20"/>
      <c r="CT102" s="20"/>
      <c r="CU102" s="20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0"/>
      <c r="EB102" s="20"/>
      <c r="EC102" s="12"/>
      <c r="ED102" s="64"/>
      <c r="EE102" s="64"/>
      <c r="EF102" s="64"/>
      <c r="EG102" s="64"/>
      <c r="EH102" s="65"/>
      <c r="EI102" s="65"/>
      <c r="EJ102" s="65"/>
      <c r="EK102" s="65"/>
      <c r="EL102" s="64"/>
      <c r="EM102" s="66"/>
      <c r="EN102" s="66"/>
      <c r="EO102" s="66"/>
      <c r="EP102" s="66"/>
      <c r="EQ102" s="66"/>
      <c r="ER102" s="66"/>
      <c r="ES102" s="66"/>
      <c r="ET102" s="66"/>
      <c r="EU102" s="66"/>
      <c r="EV102" s="66"/>
      <c r="EW102" s="67"/>
      <c r="EX102" s="67"/>
      <c r="EY102" s="67"/>
      <c r="EZ102" s="67"/>
      <c r="FA102" s="64"/>
      <c r="FB102" s="64"/>
      <c r="FC102" s="64"/>
      <c r="FD102" s="12"/>
    </row>
    <row r="103" spans="1:160" ht="3" customHeight="1">
      <c r="A103" s="1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11"/>
      <c r="S103" s="11"/>
      <c r="T103" s="12"/>
      <c r="U103" s="12"/>
      <c r="V103" s="12"/>
      <c r="W103" s="20"/>
      <c r="X103" s="20"/>
      <c r="Y103" s="20"/>
      <c r="Z103" s="20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0"/>
      <c r="BC103" s="12"/>
      <c r="BD103" s="12"/>
      <c r="BE103" s="12"/>
      <c r="BF103" s="20"/>
      <c r="BG103" s="20"/>
      <c r="BH103" s="20"/>
      <c r="BI103" s="20"/>
      <c r="BJ103" s="20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0"/>
      <c r="CQ103" s="20"/>
      <c r="CR103" s="12"/>
      <c r="CS103" s="20"/>
      <c r="CT103" s="20"/>
      <c r="CU103" s="20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0"/>
      <c r="EB103" s="20"/>
      <c r="EC103" s="12"/>
      <c r="ED103" s="64"/>
      <c r="EE103" s="64"/>
      <c r="EF103" s="64"/>
      <c r="EG103" s="64"/>
      <c r="EH103" s="65"/>
      <c r="EI103" s="65"/>
      <c r="EJ103" s="65"/>
      <c r="EK103" s="65"/>
      <c r="EL103" s="64"/>
      <c r="EM103" s="66"/>
      <c r="EN103" s="66"/>
      <c r="EO103" s="66"/>
      <c r="EP103" s="66"/>
      <c r="EQ103" s="66"/>
      <c r="ER103" s="66"/>
      <c r="ES103" s="66"/>
      <c r="ET103" s="66"/>
      <c r="EU103" s="66"/>
      <c r="EV103" s="66"/>
      <c r="EW103" s="67"/>
      <c r="EX103" s="67"/>
      <c r="EY103" s="67"/>
      <c r="EZ103" s="67"/>
      <c r="FA103" s="64"/>
      <c r="FB103" s="64"/>
      <c r="FC103" s="64"/>
      <c r="FD103" s="12"/>
    </row>
    <row r="104" spans="1:160" ht="5.25" customHeight="1">
      <c r="A104" s="11"/>
      <c r="B104" s="62"/>
      <c r="C104" s="62"/>
      <c r="D104" s="70">
        <f>Calcoli!$A$40</f>
        <v/>
      </c>
      <c r="E104" s="70"/>
      <c r="F104" s="70"/>
      <c r="G104" s="70"/>
      <c r="H104" s="70"/>
      <c r="I104" s="70"/>
      <c r="J104" s="70"/>
      <c r="K104" s="70"/>
      <c r="L104" s="70"/>
      <c r="M104" s="70"/>
      <c r="N104" s="62"/>
      <c r="O104" s="62"/>
      <c r="P104" s="62"/>
      <c r="Q104" s="62"/>
      <c r="R104" s="11"/>
      <c r="S104" s="11"/>
      <c r="T104" s="12"/>
      <c r="U104" s="12"/>
      <c r="V104" s="12"/>
      <c r="W104" s="20"/>
      <c r="X104" s="20"/>
      <c r="Y104" s="20"/>
      <c r="Z104" s="20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0"/>
      <c r="BC104" s="12"/>
      <c r="BD104" s="12"/>
      <c r="BE104" s="12"/>
      <c r="BF104" s="20"/>
      <c r="BG104" s="20"/>
      <c r="BH104" s="20"/>
      <c r="BI104" s="20"/>
      <c r="BJ104" s="20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0"/>
      <c r="CQ104" s="20"/>
      <c r="CR104" s="12"/>
      <c r="CS104" s="20"/>
      <c r="CT104" s="20"/>
      <c r="CU104" s="20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0"/>
      <c r="EB104" s="20"/>
      <c r="EC104" s="12"/>
      <c r="ED104" s="64"/>
      <c r="EE104" s="64"/>
      <c r="EF104" s="64"/>
      <c r="EG104" s="64"/>
      <c r="EH104" s="65"/>
      <c r="EI104" s="65"/>
      <c r="EJ104" s="65"/>
      <c r="EK104" s="65"/>
      <c r="EL104" s="64"/>
      <c r="EM104" s="66"/>
      <c r="EN104" s="66"/>
      <c r="EO104" s="66"/>
      <c r="EP104" s="66"/>
      <c r="EQ104" s="66"/>
      <c r="ER104" s="66"/>
      <c r="ES104" s="66"/>
      <c r="ET104" s="66"/>
      <c r="EU104" s="66"/>
      <c r="EV104" s="66"/>
      <c r="EW104" s="67"/>
      <c r="EX104" s="67"/>
      <c r="EY104" s="67"/>
      <c r="EZ104" s="67"/>
      <c r="FA104" s="64"/>
      <c r="FB104" s="64"/>
      <c r="FC104" s="64"/>
      <c r="FD104" s="12"/>
    </row>
    <row r="105" spans="1:160" ht="2.25" customHeight="1">
      <c r="A105" s="11"/>
      <c r="B105" s="62"/>
      <c r="C105" s="62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62"/>
      <c r="O105" s="62"/>
      <c r="P105" s="62"/>
      <c r="Q105" s="62"/>
      <c r="R105" s="11"/>
      <c r="S105" s="11"/>
      <c r="T105" s="12"/>
      <c r="U105" s="12"/>
      <c r="V105" s="12"/>
      <c r="W105" s="20"/>
      <c r="X105" s="20"/>
      <c r="Y105" s="20"/>
      <c r="Z105" s="20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0"/>
      <c r="BC105" s="12"/>
      <c r="BD105" s="12"/>
      <c r="BE105" s="12"/>
      <c r="BF105" s="20"/>
      <c r="BG105" s="20"/>
      <c r="BH105" s="20"/>
      <c r="BI105" s="20"/>
      <c r="BJ105" s="20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0"/>
      <c r="CQ105" s="20"/>
      <c r="CR105" s="12"/>
      <c r="CS105" s="20"/>
      <c r="CT105" s="20"/>
      <c r="CU105" s="20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0"/>
      <c r="EB105" s="20"/>
      <c r="EC105" s="12"/>
      <c r="ED105" s="64"/>
      <c r="EE105" s="64"/>
      <c r="EF105" s="64"/>
      <c r="EG105" s="64"/>
      <c r="EH105" s="65"/>
      <c r="EI105" s="65"/>
      <c r="EJ105" s="65"/>
      <c r="EK105" s="65"/>
      <c r="EL105" s="64"/>
      <c r="EM105" s="64"/>
      <c r="EN105" s="64"/>
      <c r="EO105" s="64"/>
      <c r="EP105" s="64"/>
      <c r="EQ105" s="64"/>
      <c r="ER105" s="64"/>
      <c r="ES105" s="64"/>
      <c r="ET105" s="64"/>
      <c r="EU105" s="64"/>
      <c r="EV105" s="64"/>
      <c r="EW105" s="64"/>
      <c r="EX105" s="64"/>
      <c r="EY105" s="64"/>
      <c r="EZ105" s="64"/>
      <c r="FA105" s="64"/>
      <c r="FB105" s="64"/>
      <c r="FC105" s="64"/>
      <c r="FD105" s="12"/>
    </row>
    <row r="106" spans="1:160" ht="3" customHeight="1">
      <c r="A106" s="11"/>
      <c r="B106" s="62"/>
      <c r="C106" s="62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62"/>
      <c r="O106" s="62"/>
      <c r="P106" s="62"/>
      <c r="Q106" s="62"/>
      <c r="R106" s="11"/>
      <c r="S106" s="11"/>
      <c r="T106" s="12"/>
      <c r="U106" s="12"/>
      <c r="V106" s="12"/>
      <c r="W106" s="20"/>
      <c r="X106" s="20"/>
      <c r="Y106" s="20"/>
      <c r="Z106" s="20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0"/>
      <c r="BC106" s="12"/>
      <c r="BD106" s="12"/>
      <c r="BE106" s="12"/>
      <c r="BF106" s="20"/>
      <c r="BG106" s="20"/>
      <c r="BH106" s="20"/>
      <c r="BI106" s="20"/>
      <c r="BJ106" s="20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0"/>
      <c r="CQ106" s="20"/>
      <c r="CR106" s="12"/>
      <c r="CS106" s="20"/>
      <c r="CT106" s="20"/>
      <c r="CU106" s="20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0"/>
      <c r="EB106" s="20"/>
      <c r="EC106" s="12"/>
      <c r="ED106" s="64"/>
      <c r="EE106" s="64"/>
      <c r="EF106" s="64"/>
      <c r="EG106" s="64"/>
      <c r="EH106" s="64"/>
      <c r="EI106" s="64"/>
      <c r="EJ106" s="64"/>
      <c r="EK106" s="64"/>
      <c r="EL106" s="64"/>
      <c r="EM106" s="64"/>
      <c r="EN106" s="64"/>
      <c r="EO106" s="64"/>
      <c r="EP106" s="64"/>
      <c r="EQ106" s="64"/>
      <c r="ER106" s="64"/>
      <c r="ES106" s="64"/>
      <c r="ET106" s="64"/>
      <c r="EU106" s="64"/>
      <c r="EV106" s="64"/>
      <c r="EW106" s="64"/>
      <c r="EX106" s="64"/>
      <c r="EY106" s="64"/>
      <c r="EZ106" s="64"/>
      <c r="FA106" s="64"/>
      <c r="FB106" s="64"/>
      <c r="FC106" s="64"/>
      <c r="FD106" s="12"/>
    </row>
    <row r="107" spans="1:160" ht="3" customHeight="1">
      <c r="A107" s="11"/>
      <c r="B107" s="62"/>
      <c r="C107" s="62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62"/>
      <c r="O107" s="62"/>
      <c r="P107" s="62"/>
      <c r="Q107" s="62"/>
      <c r="R107" s="11"/>
      <c r="S107" s="11"/>
      <c r="T107" s="12"/>
      <c r="U107" s="12"/>
      <c r="V107" s="12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12"/>
      <c r="BD107" s="12"/>
      <c r="BE107" s="12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12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12"/>
      <c r="ED107" s="64"/>
      <c r="EE107" s="64"/>
      <c r="EF107" s="64"/>
      <c r="EG107" s="64"/>
      <c r="EH107" s="64"/>
      <c r="EI107" s="64"/>
      <c r="EJ107" s="64"/>
      <c r="EK107" s="64"/>
      <c r="EL107" s="64"/>
      <c r="EM107" s="64"/>
      <c r="EN107" s="64"/>
      <c r="EO107" s="64"/>
      <c r="EP107" s="64"/>
      <c r="EQ107" s="64"/>
      <c r="ER107" s="64"/>
      <c r="ES107" s="64"/>
      <c r="ET107" s="64"/>
      <c r="EU107" s="64"/>
      <c r="EV107" s="64"/>
      <c r="EW107" s="64"/>
      <c r="EX107" s="64"/>
      <c r="EY107" s="64"/>
      <c r="EZ107" s="64"/>
      <c r="FA107" s="64"/>
      <c r="FB107" s="64"/>
      <c r="FC107" s="64"/>
      <c r="FD107" s="12"/>
    </row>
    <row r="108" spans="1:160" ht="1.5" customHeight="1">
      <c r="A108" s="11"/>
      <c r="B108" s="62"/>
      <c r="C108" s="62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62"/>
      <c r="O108" s="62"/>
      <c r="P108" s="62"/>
      <c r="Q108" s="62"/>
      <c r="R108" s="11"/>
      <c r="S108" s="11"/>
      <c r="T108" s="12"/>
      <c r="U108" s="12"/>
      <c r="V108" s="12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12"/>
      <c r="BD108" s="12"/>
      <c r="BE108" s="12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12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12"/>
      <c r="ED108" s="64"/>
      <c r="EE108" s="64"/>
      <c r="EF108" s="71"/>
      <c r="EG108" s="72" t="s">
        <v>55</v>
      </c>
      <c r="EH108" s="72"/>
      <c r="EI108" s="72"/>
      <c r="EJ108" s="72"/>
      <c r="EK108" s="72"/>
      <c r="EL108" s="72"/>
      <c r="EM108" s="72"/>
      <c r="EN108" s="72"/>
      <c r="EO108" s="72"/>
      <c r="EP108" s="73" t="s">
        <v>159</v>
      </c>
      <c r="EQ108" s="73"/>
      <c r="ER108" s="73"/>
      <c r="ES108" s="71"/>
      <c r="ET108" s="71"/>
      <c r="EU108" s="71"/>
      <c r="EV108" s="74" t="s">
        <v>160</v>
      </c>
      <c r="EW108" s="74"/>
      <c r="EX108" s="71"/>
      <c r="EY108" s="64"/>
      <c r="EZ108" s="64"/>
      <c r="FA108" s="64"/>
      <c r="FB108" s="64"/>
      <c r="FC108" s="64"/>
      <c r="FD108" s="12"/>
    </row>
    <row r="109" spans="1:160" ht="1.5" customHeight="1">
      <c r="A109" s="11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11"/>
      <c r="S109" s="11"/>
      <c r="T109" s="12"/>
      <c r="U109" s="12"/>
      <c r="V109" s="12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12"/>
      <c r="BD109" s="12"/>
      <c r="BE109" s="12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12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12"/>
      <c r="ED109" s="64"/>
      <c r="EE109" s="64"/>
      <c r="EF109" s="71"/>
      <c r="EG109" s="72"/>
      <c r="EH109" s="72"/>
      <c r="EI109" s="72"/>
      <c r="EJ109" s="72"/>
      <c r="EK109" s="72"/>
      <c r="EL109" s="72"/>
      <c r="EM109" s="72"/>
      <c r="EN109" s="72"/>
      <c r="EO109" s="72"/>
      <c r="EP109" s="73"/>
      <c r="EQ109" s="73"/>
      <c r="ER109" s="73"/>
      <c r="ES109" s="71"/>
      <c r="ET109" s="71"/>
      <c r="EU109" s="71"/>
      <c r="EV109" s="74"/>
      <c r="EW109" s="74"/>
      <c r="EX109" s="71"/>
      <c r="EY109" s="64"/>
      <c r="EZ109" s="64"/>
      <c r="FA109" s="64"/>
      <c r="FB109" s="64"/>
      <c r="FC109" s="64"/>
      <c r="FD109" s="12"/>
    </row>
    <row r="110" spans="1:160" ht="4.5" customHeight="1">
      <c r="A110" s="11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11"/>
      <c r="S110" s="11"/>
      <c r="T110" s="12"/>
      <c r="U110" s="12"/>
      <c r="V110" s="12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12"/>
      <c r="BD110" s="12"/>
      <c r="BE110" s="12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12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12"/>
      <c r="ED110" s="64"/>
      <c r="EE110" s="64"/>
      <c r="EF110" s="71"/>
      <c r="EG110" s="72"/>
      <c r="EH110" s="72"/>
      <c r="EI110" s="72"/>
      <c r="EJ110" s="72"/>
      <c r="EK110" s="72"/>
      <c r="EL110" s="72"/>
      <c r="EM110" s="72"/>
      <c r="EN110" s="72"/>
      <c r="EO110" s="72"/>
      <c r="EP110" s="73"/>
      <c r="EQ110" s="73"/>
      <c r="ER110" s="73"/>
      <c r="ES110" s="71"/>
      <c r="ET110" s="75">
        <v>1000</v>
      </c>
      <c r="EU110" s="71"/>
      <c r="EV110" s="74"/>
      <c r="EW110" s="74"/>
      <c r="EX110" s="71"/>
      <c r="EY110" s="64"/>
      <c r="EZ110" s="64"/>
      <c r="FA110" s="64"/>
      <c r="FB110" s="64"/>
      <c r="FC110" s="64"/>
      <c r="FD110" s="12"/>
    </row>
    <row r="111" spans="1:160" ht="7.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2"/>
      <c r="U111" s="12"/>
      <c r="V111" s="12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12"/>
      <c r="BD111" s="12"/>
      <c r="BE111" s="12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12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12"/>
      <c r="ED111" s="64"/>
      <c r="EE111" s="64"/>
      <c r="EF111" s="71"/>
      <c r="EG111" s="72"/>
      <c r="EH111" s="72"/>
      <c r="EI111" s="72"/>
      <c r="EJ111" s="72"/>
      <c r="EK111" s="72"/>
      <c r="EL111" s="72"/>
      <c r="EM111" s="72"/>
      <c r="EN111" s="72"/>
      <c r="EO111" s="72"/>
      <c r="EP111" s="73"/>
      <c r="EQ111" s="73"/>
      <c r="ER111" s="73"/>
      <c r="ES111" s="71"/>
      <c r="ET111" s="75"/>
      <c r="EU111" s="71"/>
      <c r="EV111" s="74"/>
      <c r="EW111" s="74"/>
      <c r="EX111" s="71"/>
      <c r="EY111" s="64"/>
      <c r="EZ111" s="64"/>
      <c r="FA111" s="64"/>
      <c r="FB111" s="64"/>
      <c r="FC111" s="64"/>
      <c r="FD111" s="12"/>
    </row>
    <row r="112" spans="1:160" ht="1.5" customHeight="1">
      <c r="A112" s="11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11"/>
      <c r="S112" s="11"/>
      <c r="T112" s="12"/>
      <c r="U112" s="12"/>
      <c r="V112" s="12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12"/>
      <c r="BD112" s="12"/>
      <c r="BE112" s="12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12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12"/>
      <c r="ED112" s="64"/>
      <c r="EE112" s="64"/>
      <c r="EF112" s="71"/>
      <c r="EG112" s="72"/>
      <c r="EH112" s="72"/>
      <c r="EI112" s="72"/>
      <c r="EJ112" s="72"/>
      <c r="EK112" s="72"/>
      <c r="EL112" s="72"/>
      <c r="EM112" s="72"/>
      <c r="EN112" s="72"/>
      <c r="EO112" s="72"/>
      <c r="EP112" s="73"/>
      <c r="EQ112" s="73"/>
      <c r="ER112" s="73"/>
      <c r="ES112" s="71"/>
      <c r="ET112" s="75"/>
      <c r="EU112" s="71"/>
      <c r="EV112" s="74"/>
      <c r="EW112" s="74"/>
      <c r="EX112" s="71"/>
      <c r="EY112" s="64"/>
      <c r="EZ112" s="64"/>
      <c r="FA112" s="64"/>
      <c r="FB112" s="64"/>
      <c r="FC112" s="64"/>
      <c r="FD112" s="12"/>
    </row>
    <row r="113" spans="1:160" ht="3" customHeight="1">
      <c r="A113" s="11"/>
      <c r="B113" s="62"/>
      <c r="C113" s="62"/>
      <c r="D113" s="62"/>
      <c r="E113" s="62"/>
      <c r="F113" s="63" t="s">
        <v>10</v>
      </c>
      <c r="G113" s="63"/>
      <c r="H113" s="63"/>
      <c r="I113" s="63"/>
      <c r="J113" s="63"/>
      <c r="K113" s="63"/>
      <c r="L113" s="63"/>
      <c r="M113" s="63"/>
      <c r="N113" s="63"/>
      <c r="O113" s="62"/>
      <c r="P113" s="62"/>
      <c r="Q113" s="62"/>
      <c r="R113" s="11"/>
      <c r="S113" s="11"/>
      <c r="T113" s="12"/>
      <c r="U113" s="12"/>
      <c r="V113" s="12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12"/>
      <c r="BD113" s="12"/>
      <c r="BE113" s="12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12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12"/>
      <c r="ED113" s="64"/>
      <c r="EE113" s="64"/>
      <c r="EF113" s="71"/>
      <c r="EG113" s="72"/>
      <c r="EH113" s="72"/>
      <c r="EI113" s="72"/>
      <c r="EJ113" s="72"/>
      <c r="EK113" s="72"/>
      <c r="EL113" s="72"/>
      <c r="EM113" s="72"/>
      <c r="EN113" s="72"/>
      <c r="EO113" s="72"/>
      <c r="EP113" s="73"/>
      <c r="EQ113" s="73"/>
      <c r="ER113" s="73"/>
      <c r="ES113" s="71"/>
      <c r="ET113" s="71"/>
      <c r="EU113" s="71"/>
      <c r="EV113" s="74"/>
      <c r="EW113" s="74"/>
      <c r="EX113" s="71"/>
      <c r="EY113" s="64"/>
      <c r="EZ113" s="64"/>
      <c r="FA113" s="64"/>
      <c r="FB113" s="64"/>
      <c r="FC113" s="64"/>
      <c r="FD113" s="12"/>
    </row>
    <row r="114" spans="1:160" ht="1.5" customHeight="1">
      <c r="A114" s="11"/>
      <c r="B114" s="62"/>
      <c r="C114" s="62"/>
      <c r="D114" s="62"/>
      <c r="E114" s="62"/>
      <c r="F114" s="63"/>
      <c r="G114" s="63"/>
      <c r="H114" s="63"/>
      <c r="I114" s="63"/>
      <c r="J114" s="63"/>
      <c r="K114" s="63"/>
      <c r="L114" s="63"/>
      <c r="M114" s="63"/>
      <c r="N114" s="63"/>
      <c r="O114" s="62"/>
      <c r="P114" s="62"/>
      <c r="Q114" s="62"/>
      <c r="R114" s="11"/>
      <c r="S114" s="11"/>
      <c r="T114" s="12"/>
      <c r="U114" s="12"/>
      <c r="V114" s="12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12"/>
      <c r="BD114" s="12"/>
      <c r="BE114" s="12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12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12"/>
      <c r="ED114" s="64"/>
      <c r="EE114" s="64"/>
      <c r="EF114" s="64"/>
      <c r="EG114" s="64"/>
      <c r="EH114" s="64"/>
      <c r="EI114" s="64"/>
      <c r="EJ114" s="64"/>
      <c r="EK114" s="64"/>
      <c r="EL114" s="64"/>
      <c r="EM114" s="64"/>
      <c r="EN114" s="64"/>
      <c r="EO114" s="64"/>
      <c r="EP114" s="64"/>
      <c r="EQ114" s="64"/>
      <c r="ER114" s="64"/>
      <c r="ES114" s="64"/>
      <c r="ET114" s="64"/>
      <c r="EU114" s="64"/>
      <c r="EV114" s="64"/>
      <c r="EW114" s="64"/>
      <c r="EX114" s="64"/>
      <c r="EY114" s="64"/>
      <c r="EZ114" s="64"/>
      <c r="FA114" s="64"/>
      <c r="FB114" s="64"/>
      <c r="FC114" s="64"/>
      <c r="FD114" s="12"/>
    </row>
    <row r="115" spans="1:160" ht="3" customHeight="1">
      <c r="A115" s="11"/>
      <c r="B115" s="62"/>
      <c r="C115" s="62"/>
      <c r="D115" s="62"/>
      <c r="E115" s="62"/>
      <c r="F115" s="63"/>
      <c r="G115" s="63"/>
      <c r="H115" s="63"/>
      <c r="I115" s="63"/>
      <c r="J115" s="63"/>
      <c r="K115" s="63"/>
      <c r="L115" s="63"/>
      <c r="M115" s="63"/>
      <c r="N115" s="63"/>
      <c r="O115" s="62"/>
      <c r="P115" s="62"/>
      <c r="Q115" s="62"/>
      <c r="R115" s="11"/>
      <c r="S115" s="11"/>
      <c r="T115" s="12"/>
      <c r="U115" s="12"/>
      <c r="V115" s="12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12"/>
      <c r="BD115" s="12"/>
      <c r="BE115" s="12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12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12"/>
      <c r="ED115" s="64"/>
      <c r="EE115" s="64"/>
      <c r="EF115" s="64"/>
      <c r="EG115" s="64"/>
      <c r="EH115" s="64"/>
      <c r="EI115" s="64"/>
      <c r="EJ115" s="64"/>
      <c r="EK115" s="64"/>
      <c r="EL115" s="64"/>
      <c r="EM115" s="64"/>
      <c r="EN115" s="64"/>
      <c r="EO115" s="64"/>
      <c r="EP115" s="64"/>
      <c r="EQ115" s="64"/>
      <c r="ER115" s="64"/>
      <c r="ES115" s="64"/>
      <c r="ET115" s="64"/>
      <c r="EU115" s="64"/>
      <c r="EV115" s="64"/>
      <c r="EW115" s="64"/>
      <c r="EX115" s="64"/>
      <c r="EY115" s="64"/>
      <c r="EZ115" s="64"/>
      <c r="FA115" s="64"/>
      <c r="FB115" s="64"/>
      <c r="FC115" s="64"/>
      <c r="FD115" s="12"/>
    </row>
    <row r="116" spans="1:160" ht="3" customHeight="1">
      <c r="A116" s="11"/>
      <c r="B116" s="62"/>
      <c r="C116" s="62"/>
      <c r="D116" s="62"/>
      <c r="E116" s="62"/>
      <c r="F116" s="63"/>
      <c r="G116" s="63"/>
      <c r="H116" s="63"/>
      <c r="I116" s="63"/>
      <c r="J116" s="63"/>
      <c r="K116" s="63"/>
      <c r="L116" s="63"/>
      <c r="M116" s="63"/>
      <c r="N116" s="63"/>
      <c r="O116" s="62"/>
      <c r="P116" s="62"/>
      <c r="Q116" s="62"/>
      <c r="R116" s="11"/>
      <c r="S116" s="11"/>
      <c r="T116" s="12"/>
      <c r="U116" s="12"/>
      <c r="V116" s="12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12"/>
      <c r="BD116" s="12"/>
      <c r="BE116" s="12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12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12"/>
      <c r="ED116" s="64"/>
      <c r="EE116" s="64"/>
      <c r="EF116" s="71"/>
      <c r="EG116" s="72" t="s">
        <v>56</v>
      </c>
      <c r="EH116" s="72"/>
      <c r="EI116" s="72"/>
      <c r="EJ116" s="72"/>
      <c r="EK116" s="72"/>
      <c r="EL116" s="72"/>
      <c r="EM116" s="72"/>
      <c r="EN116" s="72"/>
      <c r="EO116" s="72"/>
      <c r="EP116" s="73" t="s">
        <v>161</v>
      </c>
      <c r="EQ116" s="73"/>
      <c r="ER116" s="73"/>
      <c r="ES116" s="71"/>
      <c r="ET116" s="71"/>
      <c r="EU116" s="71"/>
      <c r="EV116" s="74" t="s">
        <v>162</v>
      </c>
      <c r="EW116" s="74"/>
      <c r="EX116" s="71"/>
      <c r="EY116" s="64"/>
      <c r="EZ116" s="64"/>
      <c r="FA116" s="64"/>
      <c r="FB116" s="64"/>
      <c r="FC116" s="64"/>
      <c r="FD116" s="12"/>
    </row>
    <row r="117" spans="1:160" ht="7.5" customHeight="1">
      <c r="A117" s="11"/>
      <c r="B117" s="62"/>
      <c r="C117" s="62"/>
      <c r="D117" s="62"/>
      <c r="E117" s="62"/>
      <c r="F117" s="63"/>
      <c r="G117" s="63"/>
      <c r="H117" s="63"/>
      <c r="I117" s="63"/>
      <c r="J117" s="63"/>
      <c r="K117" s="63"/>
      <c r="L117" s="63"/>
      <c r="M117" s="63"/>
      <c r="N117" s="63"/>
      <c r="O117" s="62"/>
      <c r="P117" s="62"/>
      <c r="Q117" s="62"/>
      <c r="R117" s="11"/>
      <c r="S117" s="11"/>
      <c r="T117" s="12"/>
      <c r="U117" s="12"/>
      <c r="V117" s="12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12"/>
      <c r="BD117" s="12"/>
      <c r="BE117" s="12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12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12"/>
      <c r="ED117" s="64"/>
      <c r="EE117" s="64"/>
      <c r="EF117" s="71"/>
      <c r="EG117" s="72"/>
      <c r="EH117" s="72"/>
      <c r="EI117" s="72"/>
      <c r="EJ117" s="72"/>
      <c r="EK117" s="72"/>
      <c r="EL117" s="72"/>
      <c r="EM117" s="72"/>
      <c r="EN117" s="72"/>
      <c r="EO117" s="72"/>
      <c r="EP117" s="73"/>
      <c r="EQ117" s="73"/>
      <c r="ER117" s="73"/>
      <c r="ES117" s="71"/>
      <c r="ET117" s="75">
        <v>10</v>
      </c>
      <c r="EU117" s="71"/>
      <c r="EV117" s="74"/>
      <c r="EW117" s="74"/>
      <c r="EX117" s="71"/>
      <c r="EY117" s="64"/>
      <c r="EZ117" s="64"/>
      <c r="FA117" s="64"/>
      <c r="FB117" s="64"/>
      <c r="FC117" s="64"/>
      <c r="FD117" s="12"/>
    </row>
    <row r="118" spans="1:160" ht="1.5" customHeight="1">
      <c r="A118" s="11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11"/>
      <c r="S118" s="11"/>
      <c r="T118" s="12"/>
      <c r="U118" s="12"/>
      <c r="V118" s="12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12"/>
      <c r="BD118" s="12"/>
      <c r="BE118" s="12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12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12"/>
      <c r="ED118" s="64"/>
      <c r="EE118" s="64"/>
      <c r="EF118" s="71"/>
      <c r="EG118" s="72"/>
      <c r="EH118" s="72"/>
      <c r="EI118" s="72"/>
      <c r="EJ118" s="72"/>
      <c r="EK118" s="72"/>
      <c r="EL118" s="72"/>
      <c r="EM118" s="72"/>
      <c r="EN118" s="72"/>
      <c r="EO118" s="72"/>
      <c r="EP118" s="73"/>
      <c r="EQ118" s="73"/>
      <c r="ER118" s="73"/>
      <c r="ES118" s="71"/>
      <c r="ET118" s="75"/>
      <c r="EU118" s="71"/>
      <c r="EV118" s="74"/>
      <c r="EW118" s="74"/>
      <c r="EX118" s="71"/>
      <c r="EY118" s="64"/>
      <c r="EZ118" s="64"/>
      <c r="FA118" s="64"/>
      <c r="FB118" s="64"/>
      <c r="FC118" s="64"/>
      <c r="FD118" s="12"/>
    </row>
    <row r="119" spans="1:160" ht="4.5" customHeight="1">
      <c r="A119" s="11"/>
      <c r="B119" s="62"/>
      <c r="C119" s="62"/>
      <c r="D119" s="68" t="s">
        <v>124</v>
      </c>
      <c r="E119" s="68"/>
      <c r="F119" s="68"/>
      <c r="G119" s="68"/>
      <c r="H119" s="68"/>
      <c r="I119" s="68"/>
      <c r="J119" s="68"/>
      <c r="K119" s="68"/>
      <c r="L119" s="68"/>
      <c r="M119" s="67" t="s">
        <v>129</v>
      </c>
      <c r="N119" s="62"/>
      <c r="O119" s="62"/>
      <c r="P119" s="62"/>
      <c r="Q119" s="62"/>
      <c r="R119" s="11"/>
      <c r="S119" s="11"/>
      <c r="T119" s="12"/>
      <c r="U119" s="12"/>
      <c r="V119" s="12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12"/>
      <c r="BD119" s="12"/>
      <c r="BE119" s="12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12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12"/>
      <c r="ED119" s="64"/>
      <c r="EE119" s="64"/>
      <c r="EF119" s="71"/>
      <c r="EG119" s="72"/>
      <c r="EH119" s="72"/>
      <c r="EI119" s="72"/>
      <c r="EJ119" s="72"/>
      <c r="EK119" s="72"/>
      <c r="EL119" s="72"/>
      <c r="EM119" s="72"/>
      <c r="EN119" s="72"/>
      <c r="EO119" s="72"/>
      <c r="EP119" s="73"/>
      <c r="EQ119" s="73"/>
      <c r="ER119" s="73"/>
      <c r="ES119" s="71"/>
      <c r="ET119" s="75"/>
      <c r="EU119" s="71"/>
      <c r="EV119" s="74"/>
      <c r="EW119" s="74"/>
      <c r="EX119" s="71"/>
      <c r="EY119" s="64"/>
      <c r="EZ119" s="64"/>
      <c r="FA119" s="64"/>
      <c r="FB119" s="64"/>
      <c r="FC119" s="64"/>
      <c r="FD119" s="12"/>
    </row>
    <row r="120" spans="1:160" ht="3" customHeight="1">
      <c r="A120" s="11"/>
      <c r="B120" s="62"/>
      <c r="C120" s="62"/>
      <c r="D120" s="68"/>
      <c r="E120" s="68"/>
      <c r="F120" s="68"/>
      <c r="G120" s="68"/>
      <c r="H120" s="68"/>
      <c r="I120" s="68"/>
      <c r="J120" s="68"/>
      <c r="K120" s="68"/>
      <c r="L120" s="68"/>
      <c r="M120" s="67"/>
      <c r="N120" s="62"/>
      <c r="O120" s="62"/>
      <c r="P120" s="62"/>
      <c r="Q120" s="62"/>
      <c r="R120" s="11"/>
      <c r="S120" s="11"/>
      <c r="T120" s="12"/>
      <c r="U120" s="12"/>
      <c r="V120" s="12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12"/>
      <c r="BD120" s="12"/>
      <c r="BE120" s="12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12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12"/>
      <c r="ED120" s="64"/>
      <c r="EE120" s="64"/>
      <c r="EF120" s="71"/>
      <c r="EG120" s="72"/>
      <c r="EH120" s="72"/>
      <c r="EI120" s="72"/>
      <c r="EJ120" s="72"/>
      <c r="EK120" s="72"/>
      <c r="EL120" s="72"/>
      <c r="EM120" s="72"/>
      <c r="EN120" s="72"/>
      <c r="EO120" s="72"/>
      <c r="EP120" s="73"/>
      <c r="EQ120" s="73"/>
      <c r="ER120" s="73"/>
      <c r="ES120" s="71"/>
      <c r="ET120" s="71"/>
      <c r="EU120" s="71"/>
      <c r="EV120" s="74"/>
      <c r="EW120" s="74"/>
      <c r="EX120" s="71"/>
      <c r="EY120" s="64"/>
      <c r="EZ120" s="64"/>
      <c r="FA120" s="64"/>
      <c r="FB120" s="64"/>
      <c r="FC120" s="64"/>
      <c r="FD120" s="12"/>
    </row>
    <row r="121" spans="1:160" ht="4.5" customHeight="1">
      <c r="A121" s="11"/>
      <c r="B121" s="62"/>
      <c r="C121" s="62"/>
      <c r="D121" s="68"/>
      <c r="E121" s="68"/>
      <c r="F121" s="68"/>
      <c r="G121" s="68"/>
      <c r="H121" s="68"/>
      <c r="I121" s="68"/>
      <c r="J121" s="68"/>
      <c r="K121" s="68"/>
      <c r="L121" s="68"/>
      <c r="M121" s="67"/>
      <c r="N121" s="62"/>
      <c r="O121" s="62"/>
      <c r="P121" s="62"/>
      <c r="Q121" s="62"/>
      <c r="R121" s="11"/>
      <c r="S121" s="11"/>
      <c r="T121" s="12"/>
      <c r="U121" s="12"/>
      <c r="V121" s="12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12"/>
      <c r="BD121" s="12"/>
      <c r="BE121" s="12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12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12"/>
      <c r="ED121" s="64"/>
      <c r="EE121" s="64"/>
      <c r="EF121" s="64"/>
      <c r="EG121" s="64"/>
      <c r="EH121" s="64"/>
      <c r="EI121" s="64"/>
      <c r="EJ121" s="64"/>
      <c r="EK121" s="64"/>
      <c r="EL121" s="64"/>
      <c r="EM121" s="64"/>
      <c r="EN121" s="64"/>
      <c r="EO121" s="64"/>
      <c r="EP121" s="64"/>
      <c r="EQ121" s="64"/>
      <c r="ER121" s="64"/>
      <c r="ES121" s="64"/>
      <c r="ET121" s="64"/>
      <c r="EU121" s="64"/>
      <c r="EV121" s="64"/>
      <c r="EW121" s="64"/>
      <c r="EX121" s="64"/>
      <c r="EY121" s="64"/>
      <c r="EZ121" s="64"/>
      <c r="FA121" s="64"/>
      <c r="FB121" s="64"/>
      <c r="FC121" s="64"/>
      <c r="FD121" s="12"/>
    </row>
    <row r="122" spans="1:160" ht="3" customHeight="1">
      <c r="A122" s="11"/>
      <c r="B122" s="62"/>
      <c r="C122" s="62"/>
      <c r="D122" s="68"/>
      <c r="E122" s="68"/>
      <c r="F122" s="68"/>
      <c r="G122" s="68"/>
      <c r="H122" s="68"/>
      <c r="I122" s="68"/>
      <c r="J122" s="68"/>
      <c r="K122" s="68"/>
      <c r="L122" s="68"/>
      <c r="M122" s="67"/>
      <c r="N122" s="62"/>
      <c r="O122" s="62"/>
      <c r="P122" s="62"/>
      <c r="Q122" s="62"/>
      <c r="R122" s="11"/>
      <c r="S122" s="11"/>
      <c r="T122" s="12"/>
      <c r="U122" s="12"/>
      <c r="V122" s="12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12"/>
      <c r="BD122" s="12"/>
      <c r="BE122" s="12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12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12"/>
      <c r="ED122" s="64"/>
      <c r="EE122" s="64"/>
      <c r="EF122" s="71"/>
      <c r="EG122" s="72" t="s">
        <v>57</v>
      </c>
      <c r="EH122" s="72"/>
      <c r="EI122" s="72"/>
      <c r="EJ122" s="72"/>
      <c r="EK122" s="72"/>
      <c r="EL122" s="72"/>
      <c r="EM122" s="72"/>
      <c r="EN122" s="72"/>
      <c r="EO122" s="72"/>
      <c r="EP122" s="73" t="s">
        <v>161</v>
      </c>
      <c r="EQ122" s="73"/>
      <c r="ER122" s="73"/>
      <c r="ES122" s="71"/>
      <c r="ET122" s="71"/>
      <c r="EU122" s="71"/>
      <c r="EV122" s="74" t="s">
        <v>163</v>
      </c>
      <c r="EW122" s="74"/>
      <c r="EX122" s="71"/>
      <c r="EY122" s="64"/>
      <c r="EZ122" s="64"/>
      <c r="FA122" s="64"/>
      <c r="FB122" s="64"/>
      <c r="FC122" s="64"/>
      <c r="FD122" s="12"/>
    </row>
    <row r="123" spans="1:160" ht="4.5" customHeight="1">
      <c r="A123" s="11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11"/>
      <c r="S123" s="11"/>
      <c r="T123" s="12"/>
      <c r="U123" s="12"/>
      <c r="V123" s="12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12"/>
      <c r="BD123" s="12"/>
      <c r="BE123" s="12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12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12"/>
      <c r="ED123" s="64"/>
      <c r="EE123" s="64"/>
      <c r="EF123" s="71"/>
      <c r="EG123" s="72"/>
      <c r="EH123" s="72"/>
      <c r="EI123" s="72"/>
      <c r="EJ123" s="72"/>
      <c r="EK123" s="72"/>
      <c r="EL123" s="72"/>
      <c r="EM123" s="72"/>
      <c r="EN123" s="72"/>
      <c r="EO123" s="72"/>
      <c r="EP123" s="73"/>
      <c r="EQ123" s="73"/>
      <c r="ER123" s="73"/>
      <c r="ES123" s="71"/>
      <c r="ET123" s="76">
        <v>0.8</v>
      </c>
      <c r="EU123" s="71"/>
      <c r="EV123" s="74"/>
      <c r="EW123" s="74"/>
      <c r="EX123" s="71"/>
      <c r="EY123" s="64"/>
      <c r="EZ123" s="64"/>
      <c r="FA123" s="64"/>
      <c r="FB123" s="64"/>
      <c r="FC123" s="64"/>
      <c r="FD123" s="12"/>
    </row>
    <row r="124" spans="1:160" ht="9" customHeight="1">
      <c r="A124" s="11"/>
      <c r="B124" s="62"/>
      <c r="C124" s="62"/>
      <c r="D124" s="70">
        <f>Calcoli!$B$36</f>
        <v/>
      </c>
      <c r="E124" s="70"/>
      <c r="F124" s="70"/>
      <c r="G124" s="70"/>
      <c r="H124" s="70"/>
      <c r="I124" s="70"/>
      <c r="J124" s="70"/>
      <c r="K124" s="70"/>
      <c r="L124" s="70"/>
      <c r="M124" s="70"/>
      <c r="N124" s="62"/>
      <c r="O124" s="62"/>
      <c r="P124" s="62"/>
      <c r="Q124" s="62"/>
      <c r="R124" s="11"/>
      <c r="S124" s="11"/>
      <c r="T124" s="12"/>
      <c r="U124" s="12"/>
      <c r="V124" s="12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12"/>
      <c r="BD124" s="12"/>
      <c r="BE124" s="12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12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12"/>
      <c r="ED124" s="64"/>
      <c r="EE124" s="64"/>
      <c r="EF124" s="71"/>
      <c r="EG124" s="72"/>
      <c r="EH124" s="72"/>
      <c r="EI124" s="72"/>
      <c r="EJ124" s="72"/>
      <c r="EK124" s="72"/>
      <c r="EL124" s="72"/>
      <c r="EM124" s="72"/>
      <c r="EN124" s="72"/>
      <c r="EO124" s="72"/>
      <c r="EP124" s="73"/>
      <c r="EQ124" s="73"/>
      <c r="ER124" s="73"/>
      <c r="ES124" s="71"/>
      <c r="ET124" s="76"/>
      <c r="EU124" s="71"/>
      <c r="EV124" s="74"/>
      <c r="EW124" s="74"/>
      <c r="EX124" s="71"/>
      <c r="EY124" s="64"/>
      <c r="EZ124" s="64"/>
      <c r="FA124" s="64"/>
      <c r="FB124" s="64"/>
      <c r="FC124" s="64"/>
      <c r="FD124" s="12"/>
    </row>
    <row r="125" spans="1:160" ht="3" customHeight="1">
      <c r="A125" s="11"/>
      <c r="B125" s="62"/>
      <c r="C125" s="62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62"/>
      <c r="O125" s="62"/>
      <c r="P125" s="62"/>
      <c r="Q125" s="62"/>
      <c r="R125" s="11"/>
      <c r="S125" s="11"/>
      <c r="T125" s="12"/>
      <c r="U125" s="12"/>
      <c r="V125" s="12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12"/>
      <c r="BD125" s="12"/>
      <c r="BE125" s="12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12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12"/>
      <c r="ED125" s="64"/>
      <c r="EE125" s="64"/>
      <c r="EF125" s="71"/>
      <c r="EG125" s="72"/>
      <c r="EH125" s="72"/>
      <c r="EI125" s="72"/>
      <c r="EJ125" s="72"/>
      <c r="EK125" s="72"/>
      <c r="EL125" s="72"/>
      <c r="EM125" s="72"/>
      <c r="EN125" s="72"/>
      <c r="EO125" s="72"/>
      <c r="EP125" s="73"/>
      <c r="EQ125" s="73"/>
      <c r="ER125" s="73"/>
      <c r="ES125" s="71"/>
      <c r="ET125" s="71"/>
      <c r="EU125" s="71"/>
      <c r="EV125" s="74"/>
      <c r="EW125" s="74"/>
      <c r="EX125" s="71"/>
      <c r="EY125" s="64"/>
      <c r="EZ125" s="64"/>
      <c r="FA125" s="64"/>
      <c r="FB125" s="64"/>
      <c r="FC125" s="64"/>
      <c r="FD125" s="12"/>
    </row>
    <row r="126" spans="1:160" ht="3" customHeight="1">
      <c r="A126" s="11"/>
      <c r="B126" s="62"/>
      <c r="C126" s="62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62"/>
      <c r="O126" s="62"/>
      <c r="P126" s="62"/>
      <c r="Q126" s="62"/>
      <c r="R126" s="11"/>
      <c r="S126" s="11"/>
      <c r="T126" s="12"/>
      <c r="U126" s="12"/>
      <c r="V126" s="12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12"/>
      <c r="BD126" s="12"/>
      <c r="BE126" s="12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12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12"/>
      <c r="ED126" s="64"/>
      <c r="EE126" s="64"/>
      <c r="EF126" s="64"/>
      <c r="EG126" s="64"/>
      <c r="EH126" s="64"/>
      <c r="EI126" s="64"/>
      <c r="EJ126" s="64"/>
      <c r="EK126" s="64"/>
      <c r="EL126" s="64"/>
      <c r="EM126" s="64"/>
      <c r="EN126" s="64"/>
      <c r="EO126" s="64"/>
      <c r="EP126" s="64"/>
      <c r="EQ126" s="64"/>
      <c r="ER126" s="64"/>
      <c r="ES126" s="64"/>
      <c r="ET126" s="64"/>
      <c r="EU126" s="64"/>
      <c r="EV126" s="64"/>
      <c r="EW126" s="64"/>
      <c r="EX126" s="64"/>
      <c r="EY126" s="64"/>
      <c r="EZ126" s="64"/>
      <c r="FA126" s="64"/>
      <c r="FB126" s="64"/>
      <c r="FC126" s="64"/>
      <c r="FD126" s="12"/>
    </row>
    <row r="127" spans="1:160" ht="1.5" customHeight="1">
      <c r="A127" s="11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11"/>
      <c r="S127" s="11"/>
      <c r="T127" s="12"/>
      <c r="U127" s="12"/>
      <c r="V127" s="12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12"/>
      <c r="BD127" s="12"/>
      <c r="BE127" s="12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12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12"/>
      <c r="ED127" s="64"/>
      <c r="EE127" s="64"/>
      <c r="EF127" s="64"/>
      <c r="EG127" s="64"/>
      <c r="EH127" s="64"/>
      <c r="EI127" s="64"/>
      <c r="EJ127" s="64"/>
      <c r="EK127" s="64"/>
      <c r="EL127" s="64"/>
      <c r="EM127" s="64"/>
      <c r="EN127" s="64"/>
      <c r="EO127" s="64"/>
      <c r="EP127" s="64"/>
      <c r="EQ127" s="64"/>
      <c r="ER127" s="64"/>
      <c r="ES127" s="64"/>
      <c r="ET127" s="64"/>
      <c r="EU127" s="64"/>
      <c r="EV127" s="64"/>
      <c r="EW127" s="64"/>
      <c r="EX127" s="64"/>
      <c r="EY127" s="64"/>
      <c r="EZ127" s="64"/>
      <c r="FA127" s="64"/>
      <c r="FB127" s="64"/>
      <c r="FC127" s="64"/>
      <c r="FD127" s="12"/>
    </row>
    <row r="128" spans="1:160" ht="1.5" customHeight="1">
      <c r="A128" s="11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11"/>
      <c r="S128" s="11"/>
      <c r="T128" s="12"/>
      <c r="U128" s="12"/>
      <c r="V128" s="12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12"/>
      <c r="BD128" s="12"/>
      <c r="BE128" s="12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12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12"/>
      <c r="ED128" s="64"/>
      <c r="EE128" s="64"/>
      <c r="EF128" s="71"/>
      <c r="EG128" s="72" t="s">
        <v>125</v>
      </c>
      <c r="EH128" s="72"/>
      <c r="EI128" s="72"/>
      <c r="EJ128" s="72"/>
      <c r="EK128" s="72"/>
      <c r="EL128" s="72"/>
      <c r="EM128" s="72"/>
      <c r="EN128" s="72"/>
      <c r="EO128" s="72"/>
      <c r="EP128" s="73" t="s">
        <v>164</v>
      </c>
      <c r="EQ128" s="73"/>
      <c r="ER128" s="73"/>
      <c r="ES128" s="71"/>
      <c r="ET128" s="77" t="s">
        <v>165</v>
      </c>
      <c r="EU128" s="77"/>
      <c r="EV128" s="77"/>
      <c r="EW128" s="77"/>
      <c r="EX128" s="71"/>
      <c r="EY128" s="64"/>
      <c r="EZ128" s="64"/>
      <c r="FA128" s="64"/>
      <c r="FB128" s="64"/>
      <c r="FC128" s="64"/>
      <c r="FD128" s="12"/>
    </row>
    <row r="129" spans="1:160">
      <c r="A129" s="11"/>
      <c r="B129" s="62"/>
      <c r="C129" s="62"/>
      <c r="D129" s="70">
        <f>Calcoli!$B$37</f>
        <v/>
      </c>
      <c r="E129" s="70"/>
      <c r="F129" s="70"/>
      <c r="G129" s="70"/>
      <c r="H129" s="70"/>
      <c r="I129" s="70"/>
      <c r="J129" s="70"/>
      <c r="K129" s="70"/>
      <c r="L129" s="70"/>
      <c r="M129" s="70"/>
      <c r="N129" s="62"/>
      <c r="O129" s="62"/>
      <c r="P129" s="62"/>
      <c r="Q129" s="62"/>
      <c r="R129" s="11"/>
      <c r="S129" s="11"/>
      <c r="T129" s="12"/>
      <c r="U129" s="12"/>
      <c r="V129" s="12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12"/>
      <c r="BD129" s="12"/>
      <c r="BE129" s="12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12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12"/>
      <c r="ED129" s="64"/>
      <c r="EE129" s="64"/>
      <c r="EF129" s="71"/>
      <c r="EG129" s="72"/>
      <c r="EH129" s="72"/>
      <c r="EI129" s="72"/>
      <c r="EJ129" s="72"/>
      <c r="EK129" s="72"/>
      <c r="EL129" s="72"/>
      <c r="EM129" s="72"/>
      <c r="EN129" s="72"/>
      <c r="EO129" s="72"/>
      <c r="EP129" s="73"/>
      <c r="EQ129" s="73"/>
      <c r="ER129" s="73"/>
      <c r="ES129" s="71"/>
      <c r="ET129" s="77"/>
      <c r="EU129" s="77"/>
      <c r="EV129" s="77"/>
      <c r="EW129" s="77"/>
      <c r="EX129" s="71"/>
      <c r="EY129" s="64"/>
      <c r="EZ129" s="64"/>
      <c r="FA129" s="64"/>
      <c r="FB129" s="64"/>
      <c r="FC129" s="64"/>
      <c r="FD129" s="12"/>
    </row>
    <row r="130" spans="1:160" ht="3" customHeight="1">
      <c r="A130" s="11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11"/>
      <c r="S130" s="11"/>
      <c r="T130" s="12"/>
      <c r="U130" s="12"/>
      <c r="V130" s="12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12"/>
      <c r="BD130" s="12"/>
      <c r="BE130" s="12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12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12"/>
      <c r="ED130" s="64"/>
      <c r="EE130" s="64"/>
      <c r="EF130" s="71"/>
      <c r="EG130" s="72"/>
      <c r="EH130" s="72"/>
      <c r="EI130" s="72"/>
      <c r="EJ130" s="72"/>
      <c r="EK130" s="72"/>
      <c r="EL130" s="72"/>
      <c r="EM130" s="72"/>
      <c r="EN130" s="72"/>
      <c r="EO130" s="72"/>
      <c r="EP130" s="73"/>
      <c r="EQ130" s="73"/>
      <c r="ER130" s="73"/>
      <c r="ES130" s="71"/>
      <c r="ET130" s="77"/>
      <c r="EU130" s="77"/>
      <c r="EV130" s="77"/>
      <c r="EW130" s="77"/>
      <c r="EX130" s="71"/>
      <c r="EY130" s="64"/>
      <c r="EZ130" s="64"/>
      <c r="FA130" s="64"/>
      <c r="FB130" s="64"/>
      <c r="FC130" s="64"/>
      <c r="FD130" s="12"/>
    </row>
    <row r="131" spans="1:160" ht="6" customHeight="1">
      <c r="A131" s="11"/>
      <c r="B131" s="62"/>
      <c r="C131" s="62"/>
      <c r="D131" s="70">
        <f>Calcoli!$B$38</f>
        <v/>
      </c>
      <c r="E131" s="70"/>
      <c r="F131" s="70"/>
      <c r="G131" s="70"/>
      <c r="H131" s="70"/>
      <c r="I131" s="70"/>
      <c r="J131" s="70"/>
      <c r="K131" s="70"/>
      <c r="L131" s="70"/>
      <c r="M131" s="70"/>
      <c r="N131" s="62"/>
      <c r="O131" s="62"/>
      <c r="P131" s="62"/>
      <c r="Q131" s="62"/>
      <c r="R131" s="11"/>
      <c r="S131" s="11"/>
      <c r="T131" s="12"/>
      <c r="U131" s="12"/>
      <c r="V131" s="12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12"/>
      <c r="BD131" s="12"/>
      <c r="BE131" s="12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12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12"/>
      <c r="ED131" s="64"/>
      <c r="EE131" s="64"/>
      <c r="EF131" s="64"/>
      <c r="EG131" s="64"/>
      <c r="EH131" s="64"/>
      <c r="EI131" s="64"/>
      <c r="EJ131" s="64"/>
      <c r="EK131" s="64"/>
      <c r="EL131" s="64"/>
      <c r="EM131" s="64"/>
      <c r="EN131" s="64"/>
      <c r="EO131" s="64"/>
      <c r="EP131" s="64"/>
      <c r="EQ131" s="64"/>
      <c r="ER131" s="64"/>
      <c r="ES131" s="64"/>
      <c r="ET131" s="64"/>
      <c r="EU131" s="64"/>
      <c r="EV131" s="64"/>
      <c r="EW131" s="64"/>
      <c r="EX131" s="64"/>
      <c r="EY131" s="64"/>
      <c r="EZ131" s="64"/>
      <c r="FA131" s="64"/>
      <c r="FB131" s="64"/>
      <c r="FC131" s="64"/>
      <c r="FD131" s="12"/>
    </row>
    <row r="132" spans="1:160" ht="9" customHeight="1">
      <c r="A132" s="11"/>
      <c r="B132" s="62"/>
      <c r="C132" s="62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62"/>
      <c r="O132" s="62"/>
      <c r="P132" s="62"/>
      <c r="Q132" s="62"/>
      <c r="R132" s="11"/>
      <c r="S132" s="11"/>
      <c r="T132" s="12"/>
      <c r="U132" s="12"/>
      <c r="V132" s="12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12"/>
      <c r="BD132" s="12"/>
      <c r="BE132" s="12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12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12"/>
      <c r="ED132" s="64"/>
      <c r="EE132" s="64"/>
      <c r="EF132" s="78" t="s">
        <v>166</v>
      </c>
      <c r="EG132" s="78"/>
      <c r="EH132" s="78"/>
      <c r="EI132" s="78"/>
      <c r="EJ132" s="78"/>
      <c r="EK132" s="78"/>
      <c r="EL132" s="78"/>
      <c r="EM132" s="78"/>
      <c r="EN132" s="78"/>
      <c r="EO132" s="78"/>
      <c r="EP132" s="78"/>
      <c r="EQ132" s="78"/>
      <c r="ER132" s="78"/>
      <c r="ES132" s="78"/>
      <c r="ET132" s="78"/>
      <c r="EU132" s="78"/>
      <c r="EV132" s="78"/>
      <c r="EW132" s="78"/>
      <c r="EX132" s="78"/>
      <c r="EY132" s="64"/>
      <c r="EZ132" s="64"/>
      <c r="FA132" s="64"/>
      <c r="FB132" s="64"/>
      <c r="FC132" s="64"/>
      <c r="FD132" s="12"/>
    </row>
    <row r="133" spans="1:160" ht="3" customHeight="1">
      <c r="A133" s="11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11"/>
      <c r="S133" s="11"/>
      <c r="T133" s="12"/>
      <c r="U133" s="12"/>
      <c r="V133" s="12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12"/>
      <c r="BD133" s="12"/>
      <c r="BE133" s="12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12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12"/>
      <c r="ED133" s="64"/>
      <c r="EE133" s="64"/>
      <c r="EF133" s="78"/>
      <c r="EG133" s="78"/>
      <c r="EH133" s="78"/>
      <c r="EI133" s="78"/>
      <c r="EJ133" s="78"/>
      <c r="EK133" s="78"/>
      <c r="EL133" s="78"/>
      <c r="EM133" s="78"/>
      <c r="EN133" s="78"/>
      <c r="EO133" s="78"/>
      <c r="EP133" s="78"/>
      <c r="EQ133" s="78"/>
      <c r="ER133" s="78"/>
      <c r="ES133" s="78"/>
      <c r="ET133" s="78"/>
      <c r="EU133" s="78"/>
      <c r="EV133" s="78"/>
      <c r="EW133" s="78"/>
      <c r="EX133" s="78"/>
      <c r="EY133" s="64"/>
      <c r="EZ133" s="64"/>
      <c r="FA133" s="64"/>
      <c r="FB133" s="64"/>
      <c r="FC133" s="64"/>
      <c r="FD133" s="12"/>
    </row>
    <row r="134" spans="1:160" ht="3" customHeight="1">
      <c r="A134" s="11"/>
      <c r="B134" s="62"/>
      <c r="C134" s="62"/>
      <c r="D134" s="70">
        <f>Calcoli!$B$39</f>
        <v/>
      </c>
      <c r="E134" s="70"/>
      <c r="F134" s="70"/>
      <c r="G134" s="70"/>
      <c r="H134" s="70"/>
      <c r="I134" s="70"/>
      <c r="J134" s="70"/>
      <c r="K134" s="70"/>
      <c r="L134" s="70"/>
      <c r="M134" s="70"/>
      <c r="N134" s="62"/>
      <c r="O134" s="62"/>
      <c r="P134" s="62"/>
      <c r="Q134" s="62"/>
      <c r="R134" s="11"/>
      <c r="S134" s="11"/>
      <c r="T134" s="12"/>
      <c r="U134" s="12"/>
      <c r="V134" s="12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12"/>
      <c r="BD134" s="12"/>
      <c r="BE134" s="12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12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12"/>
      <c r="ED134" s="64"/>
      <c r="EE134" s="64"/>
      <c r="EF134" s="78"/>
      <c r="EG134" s="78"/>
      <c r="EH134" s="78"/>
      <c r="EI134" s="78"/>
      <c r="EJ134" s="78"/>
      <c r="EK134" s="78"/>
      <c r="EL134" s="78"/>
      <c r="EM134" s="78"/>
      <c r="EN134" s="78"/>
      <c r="EO134" s="78"/>
      <c r="EP134" s="78"/>
      <c r="EQ134" s="78"/>
      <c r="ER134" s="78"/>
      <c r="ES134" s="78"/>
      <c r="ET134" s="78"/>
      <c r="EU134" s="78"/>
      <c r="EV134" s="78"/>
      <c r="EW134" s="78"/>
      <c r="EX134" s="78"/>
      <c r="EY134" s="64"/>
      <c r="EZ134" s="64"/>
      <c r="FA134" s="64"/>
      <c r="FB134" s="64"/>
      <c r="FC134" s="64"/>
      <c r="FD134" s="12"/>
    </row>
    <row r="135" spans="1:160" ht="3" customHeight="1">
      <c r="A135" s="11"/>
      <c r="B135" s="62"/>
      <c r="C135" s="62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62"/>
      <c r="O135" s="62"/>
      <c r="P135" s="62"/>
      <c r="Q135" s="62"/>
      <c r="R135" s="11"/>
      <c r="S135" s="11"/>
      <c r="T135" s="12"/>
      <c r="U135" s="12"/>
      <c r="V135" s="12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12"/>
      <c r="BD135" s="12"/>
      <c r="BE135" s="12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12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12"/>
      <c r="ED135" s="64"/>
      <c r="EE135" s="64"/>
      <c r="EF135" s="78"/>
      <c r="EG135" s="78"/>
      <c r="EH135" s="78"/>
      <c r="EI135" s="78"/>
      <c r="EJ135" s="78"/>
      <c r="EK135" s="78"/>
      <c r="EL135" s="78"/>
      <c r="EM135" s="78"/>
      <c r="EN135" s="78"/>
      <c r="EO135" s="78"/>
      <c r="EP135" s="78"/>
      <c r="EQ135" s="78"/>
      <c r="ER135" s="78"/>
      <c r="ES135" s="78"/>
      <c r="ET135" s="78"/>
      <c r="EU135" s="78"/>
      <c r="EV135" s="78"/>
      <c r="EW135" s="78"/>
      <c r="EX135" s="78"/>
      <c r="EY135" s="64"/>
      <c r="EZ135" s="64"/>
      <c r="FA135" s="64"/>
      <c r="FB135" s="64"/>
      <c r="FC135" s="64"/>
      <c r="FD135" s="12"/>
    </row>
    <row r="136" spans="1:160" ht="4.5" customHeight="1">
      <c r="A136" s="11"/>
      <c r="B136" s="62"/>
      <c r="C136" s="62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62"/>
      <c r="O136" s="62"/>
      <c r="P136" s="62"/>
      <c r="Q136" s="62"/>
      <c r="R136" s="11"/>
      <c r="S136" s="11"/>
      <c r="T136" s="12"/>
      <c r="U136" s="12"/>
      <c r="V136" s="12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12"/>
      <c r="BD136" s="12"/>
      <c r="BE136" s="12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12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12"/>
      <c r="ED136" s="64"/>
      <c r="EE136" s="64"/>
      <c r="EF136" s="64"/>
      <c r="EG136" s="64"/>
      <c r="EH136" s="64"/>
      <c r="EI136" s="64"/>
      <c r="EJ136" s="64"/>
      <c r="EK136" s="64"/>
      <c r="EL136" s="64"/>
      <c r="EM136" s="64"/>
      <c r="EN136" s="64"/>
      <c r="EO136" s="64"/>
      <c r="EP136" s="64"/>
      <c r="EQ136" s="64"/>
      <c r="ER136" s="64"/>
      <c r="ES136" s="64"/>
      <c r="ET136" s="64"/>
      <c r="EU136" s="64"/>
      <c r="EV136" s="64"/>
      <c r="EW136" s="64"/>
      <c r="EX136" s="64"/>
      <c r="EY136" s="64"/>
      <c r="EZ136" s="64"/>
      <c r="FA136" s="64"/>
      <c r="FB136" s="64"/>
      <c r="FC136" s="64"/>
      <c r="FD136" s="12"/>
    </row>
    <row r="137" spans="1:160" ht="4.5" customHeight="1">
      <c r="A137" s="11"/>
      <c r="B137" s="62"/>
      <c r="C137" s="62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62"/>
      <c r="O137" s="62"/>
      <c r="P137" s="62"/>
      <c r="Q137" s="62"/>
      <c r="R137" s="11"/>
      <c r="S137" s="11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</row>
    <row r="138" spans="1:160" ht="3" customHeight="1">
      <c r="A138" s="11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11"/>
      <c r="S138" s="11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</row>
    <row r="139" spans="1:160" ht="3" customHeight="1">
      <c r="A139" s="11"/>
      <c r="B139" s="62"/>
      <c r="C139" s="62"/>
      <c r="D139" s="70">
        <f>Calcoli!$B$40</f>
        <v/>
      </c>
      <c r="E139" s="70"/>
      <c r="F139" s="70"/>
      <c r="G139" s="70"/>
      <c r="H139" s="70"/>
      <c r="I139" s="70"/>
      <c r="J139" s="70"/>
      <c r="K139" s="70"/>
      <c r="L139" s="70"/>
      <c r="M139" s="70"/>
      <c r="N139" s="62"/>
      <c r="O139" s="62"/>
      <c r="P139" s="62"/>
      <c r="Q139" s="62"/>
      <c r="R139" s="11"/>
      <c r="S139" s="11"/>
      <c r="T139" s="12"/>
      <c r="U139" s="12"/>
      <c r="V139" s="12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12"/>
      <c r="CD139" s="12"/>
      <c r="CE139" s="12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12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12"/>
    </row>
    <row r="140" spans="1:160" ht="4.5" customHeight="1">
      <c r="A140" s="11"/>
      <c r="B140" s="62"/>
      <c r="C140" s="62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62"/>
      <c r="O140" s="62"/>
      <c r="P140" s="62"/>
      <c r="Q140" s="62"/>
      <c r="R140" s="11"/>
      <c r="S140" s="11"/>
      <c r="T140" s="12"/>
      <c r="U140" s="12"/>
      <c r="V140" s="12"/>
      <c r="W140" s="20"/>
      <c r="X140" s="20"/>
      <c r="Y140" s="79" t="s">
        <v>167</v>
      </c>
      <c r="Z140" s="79"/>
      <c r="AA140" s="79"/>
      <c r="AB140" s="79"/>
      <c r="AC140" s="79"/>
      <c r="AD140" s="79"/>
      <c r="AE140" s="79"/>
      <c r="AF140" s="79"/>
      <c r="AG140" s="79"/>
      <c r="AH140" s="79"/>
      <c r="AI140" s="79"/>
      <c r="AJ140" s="79"/>
      <c r="AK140" s="79"/>
      <c r="AL140" s="79"/>
      <c r="AM140" s="79"/>
      <c r="AN140" s="79"/>
      <c r="AO140" s="79"/>
      <c r="AP140" s="79"/>
      <c r="AQ140" s="79"/>
      <c r="AR140" s="79"/>
      <c r="AS140" s="79"/>
      <c r="AT140" s="79"/>
      <c r="AU140" s="79"/>
      <c r="AV140" s="79"/>
      <c r="AW140" s="79"/>
      <c r="AX140" s="79"/>
      <c r="AY140" s="79"/>
      <c r="AZ140" s="79"/>
      <c r="BA140" s="79"/>
      <c r="BB140" s="79"/>
      <c r="BC140" s="79"/>
      <c r="BD140" s="79"/>
      <c r="BE140" s="79"/>
      <c r="BF140" s="79"/>
      <c r="BG140" s="79"/>
      <c r="BH140" s="79"/>
      <c r="BI140" s="79"/>
      <c r="BJ140" s="79"/>
      <c r="BK140" s="79"/>
      <c r="BL140" s="79"/>
      <c r="BM140" s="79"/>
      <c r="BN140" s="79"/>
      <c r="BO140" s="79"/>
      <c r="BP140" s="79"/>
      <c r="BQ140" s="79"/>
      <c r="BR140" s="79"/>
      <c r="BS140" s="79"/>
      <c r="BT140" s="79"/>
      <c r="BU140" s="79"/>
      <c r="BV140" s="79"/>
      <c r="BW140" s="79"/>
      <c r="BX140" s="79"/>
      <c r="BY140" s="79"/>
      <c r="BZ140" s="79"/>
      <c r="CA140" s="20"/>
      <c r="CB140" s="20"/>
      <c r="CC140" s="12"/>
      <c r="CD140" s="12"/>
      <c r="CE140" s="12"/>
      <c r="CF140" s="20"/>
      <c r="CG140" s="20"/>
      <c r="CH140" s="20"/>
      <c r="CI140" s="20"/>
      <c r="CJ140" s="79" t="s">
        <v>169</v>
      </c>
      <c r="CK140" s="79"/>
      <c r="CL140" s="79"/>
      <c r="CM140" s="79"/>
      <c r="CN140" s="79"/>
      <c r="CO140" s="79"/>
      <c r="CP140" s="79"/>
      <c r="CQ140" s="79"/>
      <c r="CR140" s="79"/>
      <c r="CS140" s="79"/>
      <c r="CT140" s="79"/>
      <c r="CU140" s="79"/>
      <c r="CV140" s="79"/>
      <c r="CW140" s="79"/>
      <c r="CX140" s="79"/>
      <c r="CY140" s="79"/>
      <c r="CZ140" s="79"/>
      <c r="DA140" s="79"/>
      <c r="DB140" s="79"/>
      <c r="DC140" s="79"/>
      <c r="DD140" s="79"/>
      <c r="DE140" s="79"/>
      <c r="DF140" s="79"/>
      <c r="DG140" s="79"/>
      <c r="DH140" s="79"/>
      <c r="DI140" s="79"/>
      <c r="DJ140" s="79"/>
      <c r="DK140" s="79"/>
      <c r="DL140" s="79"/>
      <c r="DM140" s="79"/>
      <c r="DN140" s="79"/>
      <c r="DO140" s="79"/>
      <c r="DP140" s="20"/>
      <c r="DQ140" s="20"/>
      <c r="DR140" s="12"/>
      <c r="DS140" s="20"/>
      <c r="DT140" s="20"/>
      <c r="DU140" s="79" t="s">
        <v>170</v>
      </c>
      <c r="DV140" s="79"/>
      <c r="DW140" s="79"/>
      <c r="DX140" s="79"/>
      <c r="DY140" s="79"/>
      <c r="DZ140" s="79"/>
      <c r="EA140" s="79"/>
      <c r="EB140" s="79"/>
      <c r="EC140" s="79"/>
      <c r="ED140" s="79"/>
      <c r="EE140" s="79"/>
      <c r="EF140" s="79"/>
      <c r="EG140" s="79"/>
      <c r="EH140" s="79"/>
      <c r="EI140" s="79"/>
      <c r="EJ140" s="79"/>
      <c r="EK140" s="79"/>
      <c r="EL140" s="79"/>
      <c r="EM140" s="79"/>
      <c r="EN140" s="79"/>
      <c r="EO140" s="79"/>
      <c r="EP140" s="79"/>
      <c r="EQ140" s="79"/>
      <c r="ER140" s="79"/>
      <c r="ES140" s="79"/>
      <c r="ET140" s="79"/>
      <c r="EU140" s="79"/>
      <c r="EV140" s="79"/>
      <c r="EW140" s="79"/>
      <c r="EX140" s="79"/>
      <c r="EY140" s="20"/>
      <c r="EZ140" s="20"/>
      <c r="FA140" s="20"/>
      <c r="FB140" s="20"/>
      <c r="FC140" s="20"/>
      <c r="FD140" s="12"/>
    </row>
    <row r="141" spans="1:160" ht="7.5" customHeight="1">
      <c r="A141" s="11"/>
      <c r="B141" s="62"/>
      <c r="C141" s="62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62"/>
      <c r="O141" s="62"/>
      <c r="P141" s="62"/>
      <c r="Q141" s="62"/>
      <c r="R141" s="11"/>
      <c r="S141" s="11"/>
      <c r="T141" s="12"/>
      <c r="U141" s="12"/>
      <c r="V141" s="12"/>
      <c r="W141" s="20"/>
      <c r="X141" s="20"/>
      <c r="Y141" s="79"/>
      <c r="Z141" s="79"/>
      <c r="AA141" s="79"/>
      <c r="AB141" s="79"/>
      <c r="AC141" s="79"/>
      <c r="AD141" s="79"/>
      <c r="AE141" s="79"/>
      <c r="AF141" s="79"/>
      <c r="AG141" s="79"/>
      <c r="AH141" s="79"/>
      <c r="AI141" s="79"/>
      <c r="AJ141" s="79"/>
      <c r="AK141" s="79"/>
      <c r="AL141" s="79"/>
      <c r="AM141" s="79"/>
      <c r="AN141" s="79"/>
      <c r="AO141" s="79"/>
      <c r="AP141" s="79"/>
      <c r="AQ141" s="79"/>
      <c r="AR141" s="79"/>
      <c r="AS141" s="79"/>
      <c r="AT141" s="79"/>
      <c r="AU141" s="79"/>
      <c r="AV141" s="79"/>
      <c r="AW141" s="79"/>
      <c r="AX141" s="79"/>
      <c r="AY141" s="79"/>
      <c r="AZ141" s="79"/>
      <c r="BA141" s="79"/>
      <c r="BB141" s="79"/>
      <c r="BC141" s="79"/>
      <c r="BD141" s="79"/>
      <c r="BE141" s="79"/>
      <c r="BF141" s="79"/>
      <c r="BG141" s="79"/>
      <c r="BH141" s="79"/>
      <c r="BI141" s="79"/>
      <c r="BJ141" s="79"/>
      <c r="BK141" s="79"/>
      <c r="BL141" s="79"/>
      <c r="BM141" s="79"/>
      <c r="BN141" s="79"/>
      <c r="BO141" s="79"/>
      <c r="BP141" s="79"/>
      <c r="BQ141" s="79"/>
      <c r="BR141" s="79"/>
      <c r="BS141" s="79"/>
      <c r="BT141" s="79"/>
      <c r="BU141" s="79"/>
      <c r="BV141" s="79"/>
      <c r="BW141" s="79"/>
      <c r="BX141" s="79"/>
      <c r="BY141" s="79"/>
      <c r="BZ141" s="79"/>
      <c r="CA141" s="20"/>
      <c r="CB141" s="20"/>
      <c r="CC141" s="12"/>
      <c r="CD141" s="12"/>
      <c r="CE141" s="12"/>
      <c r="CF141" s="20"/>
      <c r="CG141" s="20"/>
      <c r="CH141" s="20"/>
      <c r="CI141" s="20"/>
      <c r="CJ141" s="79"/>
      <c r="CK141" s="79"/>
      <c r="CL141" s="79"/>
      <c r="CM141" s="79"/>
      <c r="CN141" s="79"/>
      <c r="CO141" s="79"/>
      <c r="CP141" s="79"/>
      <c r="CQ141" s="79"/>
      <c r="CR141" s="79"/>
      <c r="CS141" s="79"/>
      <c r="CT141" s="79"/>
      <c r="CU141" s="79"/>
      <c r="CV141" s="79"/>
      <c r="CW141" s="79"/>
      <c r="CX141" s="79"/>
      <c r="CY141" s="79"/>
      <c r="CZ141" s="79"/>
      <c r="DA141" s="79"/>
      <c r="DB141" s="79"/>
      <c r="DC141" s="79"/>
      <c r="DD141" s="79"/>
      <c r="DE141" s="79"/>
      <c r="DF141" s="79"/>
      <c r="DG141" s="79"/>
      <c r="DH141" s="79"/>
      <c r="DI141" s="79"/>
      <c r="DJ141" s="79"/>
      <c r="DK141" s="79"/>
      <c r="DL141" s="79"/>
      <c r="DM141" s="79"/>
      <c r="DN141" s="79"/>
      <c r="DO141" s="79"/>
      <c r="DP141" s="20"/>
      <c r="DQ141" s="20"/>
      <c r="DR141" s="12"/>
      <c r="DS141" s="20"/>
      <c r="DT141" s="20"/>
      <c r="DU141" s="79"/>
      <c r="DV141" s="79"/>
      <c r="DW141" s="79"/>
      <c r="DX141" s="79"/>
      <c r="DY141" s="79"/>
      <c r="DZ141" s="79"/>
      <c r="EA141" s="79"/>
      <c r="EB141" s="79"/>
      <c r="EC141" s="79"/>
      <c r="ED141" s="79"/>
      <c r="EE141" s="79"/>
      <c r="EF141" s="79"/>
      <c r="EG141" s="79"/>
      <c r="EH141" s="79"/>
      <c r="EI141" s="79"/>
      <c r="EJ141" s="79"/>
      <c r="EK141" s="79"/>
      <c r="EL141" s="79"/>
      <c r="EM141" s="79"/>
      <c r="EN141" s="79"/>
      <c r="EO141" s="79"/>
      <c r="EP141" s="79"/>
      <c r="EQ141" s="79"/>
      <c r="ER141" s="79"/>
      <c r="ES141" s="79"/>
      <c r="ET141" s="79"/>
      <c r="EU141" s="79"/>
      <c r="EV141" s="79"/>
      <c r="EW141" s="79"/>
      <c r="EX141" s="79"/>
      <c r="EY141" s="20"/>
      <c r="EZ141" s="20"/>
      <c r="FA141" s="20"/>
      <c r="FB141" s="20"/>
      <c r="FC141" s="20"/>
      <c r="FD141" s="12"/>
    </row>
    <row r="142" spans="1:160" ht="6" customHeight="1">
      <c r="A142" s="11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11"/>
      <c r="S142" s="11"/>
      <c r="T142" s="12"/>
      <c r="U142" s="12"/>
      <c r="V142" s="12"/>
      <c r="W142" s="20"/>
      <c r="X142" s="20"/>
      <c r="Y142" s="79"/>
      <c r="Z142" s="79"/>
      <c r="AA142" s="79"/>
      <c r="AB142" s="79"/>
      <c r="AC142" s="79"/>
      <c r="AD142" s="79"/>
      <c r="AE142" s="79"/>
      <c r="AF142" s="79"/>
      <c r="AG142" s="79"/>
      <c r="AH142" s="79"/>
      <c r="AI142" s="79"/>
      <c r="AJ142" s="79"/>
      <c r="AK142" s="79"/>
      <c r="AL142" s="79"/>
      <c r="AM142" s="79"/>
      <c r="AN142" s="79"/>
      <c r="AO142" s="79"/>
      <c r="AP142" s="79"/>
      <c r="AQ142" s="79"/>
      <c r="AR142" s="79"/>
      <c r="AS142" s="79"/>
      <c r="AT142" s="79"/>
      <c r="AU142" s="79"/>
      <c r="AV142" s="79"/>
      <c r="AW142" s="79"/>
      <c r="AX142" s="79"/>
      <c r="AY142" s="79"/>
      <c r="AZ142" s="79"/>
      <c r="BA142" s="79"/>
      <c r="BB142" s="79"/>
      <c r="BC142" s="79"/>
      <c r="BD142" s="79"/>
      <c r="BE142" s="79"/>
      <c r="BF142" s="79"/>
      <c r="BG142" s="79"/>
      <c r="BH142" s="79"/>
      <c r="BI142" s="79"/>
      <c r="BJ142" s="79"/>
      <c r="BK142" s="79"/>
      <c r="BL142" s="79"/>
      <c r="BM142" s="79"/>
      <c r="BN142" s="79"/>
      <c r="BO142" s="79"/>
      <c r="BP142" s="79"/>
      <c r="BQ142" s="79"/>
      <c r="BR142" s="79"/>
      <c r="BS142" s="79"/>
      <c r="BT142" s="79"/>
      <c r="BU142" s="79"/>
      <c r="BV142" s="79"/>
      <c r="BW142" s="79"/>
      <c r="BX142" s="79"/>
      <c r="BY142" s="79"/>
      <c r="BZ142" s="79"/>
      <c r="CA142" s="20"/>
      <c r="CB142" s="20"/>
      <c r="CC142" s="12"/>
      <c r="CD142" s="12"/>
      <c r="CE142" s="12"/>
      <c r="CF142" s="20"/>
      <c r="CG142" s="20"/>
      <c r="CH142" s="20"/>
      <c r="CI142" s="20"/>
      <c r="CJ142" s="79"/>
      <c r="CK142" s="79"/>
      <c r="CL142" s="79"/>
      <c r="CM142" s="79"/>
      <c r="CN142" s="79"/>
      <c r="CO142" s="79"/>
      <c r="CP142" s="79"/>
      <c r="CQ142" s="79"/>
      <c r="CR142" s="79"/>
      <c r="CS142" s="79"/>
      <c r="CT142" s="79"/>
      <c r="CU142" s="79"/>
      <c r="CV142" s="79"/>
      <c r="CW142" s="79"/>
      <c r="CX142" s="79"/>
      <c r="CY142" s="79"/>
      <c r="CZ142" s="79"/>
      <c r="DA142" s="79"/>
      <c r="DB142" s="79"/>
      <c r="DC142" s="79"/>
      <c r="DD142" s="79"/>
      <c r="DE142" s="79"/>
      <c r="DF142" s="79"/>
      <c r="DG142" s="79"/>
      <c r="DH142" s="79"/>
      <c r="DI142" s="79"/>
      <c r="DJ142" s="79"/>
      <c r="DK142" s="79"/>
      <c r="DL142" s="79"/>
      <c r="DM142" s="79"/>
      <c r="DN142" s="79"/>
      <c r="DO142" s="79"/>
      <c r="DP142" s="20"/>
      <c r="DQ142" s="20"/>
      <c r="DR142" s="12"/>
      <c r="DS142" s="20"/>
      <c r="DT142" s="20"/>
      <c r="DU142" s="79"/>
      <c r="DV142" s="79"/>
      <c r="DW142" s="79"/>
      <c r="DX142" s="79"/>
      <c r="DY142" s="79"/>
      <c r="DZ142" s="79"/>
      <c r="EA142" s="79"/>
      <c r="EB142" s="79"/>
      <c r="EC142" s="79"/>
      <c r="ED142" s="79"/>
      <c r="EE142" s="79"/>
      <c r="EF142" s="79"/>
      <c r="EG142" s="79"/>
      <c r="EH142" s="79"/>
      <c r="EI142" s="79"/>
      <c r="EJ142" s="79"/>
      <c r="EK142" s="79"/>
      <c r="EL142" s="79"/>
      <c r="EM142" s="79"/>
      <c r="EN142" s="79"/>
      <c r="EO142" s="79"/>
      <c r="EP142" s="79"/>
      <c r="EQ142" s="79"/>
      <c r="ER142" s="79"/>
      <c r="ES142" s="79"/>
      <c r="ET142" s="79"/>
      <c r="EU142" s="79"/>
      <c r="EV142" s="79"/>
      <c r="EW142" s="79"/>
      <c r="EX142" s="79"/>
      <c r="EY142" s="20"/>
      <c r="EZ142" s="20"/>
      <c r="FA142" s="20"/>
      <c r="FB142" s="20"/>
      <c r="FC142" s="20"/>
      <c r="FD142" s="12"/>
    </row>
    <row r="143" spans="1:160" ht="1.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2"/>
      <c r="U143" s="12"/>
      <c r="V143" s="12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12"/>
      <c r="CD143" s="12"/>
      <c r="CE143" s="12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12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12"/>
    </row>
    <row r="144" spans="1:160" ht="3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2"/>
      <c r="U144" s="12"/>
      <c r="V144" s="12"/>
      <c r="W144" s="20"/>
      <c r="X144" s="20"/>
      <c r="Y144" s="80" t="s">
        <v>15</v>
      </c>
      <c r="Z144" s="80"/>
      <c r="AA144" s="80"/>
      <c r="AB144" s="80"/>
      <c r="AC144" s="80"/>
      <c r="AD144" s="80" t="s">
        <v>10</v>
      </c>
      <c r="AE144" s="80"/>
      <c r="AF144" s="80"/>
      <c r="AG144" s="80"/>
      <c r="AH144" s="80"/>
      <c r="AI144" s="80"/>
      <c r="AJ144" s="80" t="s">
        <v>22</v>
      </c>
      <c r="AK144" s="80"/>
      <c r="AL144" s="80"/>
      <c r="AM144" s="80"/>
      <c r="AN144" s="80"/>
      <c r="AO144" s="80"/>
      <c r="AP144" s="80" t="s">
        <v>23</v>
      </c>
      <c r="AQ144" s="80"/>
      <c r="AR144" s="80"/>
      <c r="AS144" s="80"/>
      <c r="AT144" s="80"/>
      <c r="AU144" s="80"/>
      <c r="AV144" s="80"/>
      <c r="AW144" s="80"/>
      <c r="AX144" s="80"/>
      <c r="AY144" s="80" t="s">
        <v>24</v>
      </c>
      <c r="AZ144" s="80"/>
      <c r="BA144" s="80" t="s">
        <v>25</v>
      </c>
      <c r="BB144" s="80"/>
      <c r="BC144" s="80"/>
      <c r="BD144" s="80"/>
      <c r="BE144" s="80"/>
      <c r="BF144" s="80"/>
      <c r="BG144" s="80"/>
      <c r="BH144" s="80"/>
      <c r="BI144" s="80"/>
      <c r="BJ144" s="80" t="s">
        <v>93</v>
      </c>
      <c r="BK144" s="80"/>
      <c r="BL144" s="80"/>
      <c r="BM144" s="80"/>
      <c r="BN144" s="80"/>
      <c r="BO144" s="80"/>
      <c r="BP144" s="80"/>
      <c r="BQ144" s="80"/>
      <c r="BR144" s="80"/>
      <c r="BS144" s="80" t="s">
        <v>28</v>
      </c>
      <c r="BT144" s="80"/>
      <c r="BU144" s="80" t="s">
        <v>168</v>
      </c>
      <c r="BV144" s="80"/>
      <c r="BW144" s="80"/>
      <c r="BX144" s="80"/>
      <c r="BY144" s="80"/>
      <c r="BZ144" s="80"/>
      <c r="CA144" s="20"/>
      <c r="CB144" s="20"/>
      <c r="CC144" s="12"/>
      <c r="CD144" s="12"/>
      <c r="CE144" s="12"/>
      <c r="CF144" s="20"/>
      <c r="CG144" s="20"/>
      <c r="CH144" s="20"/>
      <c r="CI144" s="20"/>
      <c r="CJ144" s="80" t="s">
        <v>45</v>
      </c>
      <c r="CK144" s="80"/>
      <c r="CL144" s="80"/>
      <c r="CM144" s="80"/>
      <c r="CN144" s="80"/>
      <c r="CO144" s="80"/>
      <c r="CP144" s="80"/>
      <c r="CQ144" s="80"/>
      <c r="CR144" s="80"/>
      <c r="CS144" s="80"/>
      <c r="CT144" s="80"/>
      <c r="CU144" s="80" t="s">
        <v>23</v>
      </c>
      <c r="CV144" s="80"/>
      <c r="CW144" s="80"/>
      <c r="CX144" s="80"/>
      <c r="CY144" s="80"/>
      <c r="CZ144" s="80" t="s">
        <v>24</v>
      </c>
      <c r="DA144" s="80"/>
      <c r="DB144" s="80"/>
      <c r="DC144" s="80"/>
      <c r="DD144" s="80"/>
      <c r="DE144" s="80"/>
      <c r="DF144" s="80"/>
      <c r="DG144" s="80"/>
      <c r="DH144" s="80"/>
      <c r="DI144" s="80"/>
      <c r="DJ144" s="80"/>
      <c r="DK144" s="80" t="s">
        <v>25</v>
      </c>
      <c r="DL144" s="80"/>
      <c r="DM144" s="80"/>
      <c r="DN144" s="80"/>
      <c r="DO144" s="80"/>
      <c r="DP144" s="20"/>
      <c r="DQ144" s="20"/>
      <c r="DR144" s="12"/>
      <c r="DS144" s="20"/>
      <c r="DT144" s="20"/>
      <c r="DU144" s="80" t="s">
        <v>51</v>
      </c>
      <c r="DV144" s="80"/>
      <c r="DW144" s="80"/>
      <c r="DX144" s="80"/>
      <c r="DY144" s="80"/>
      <c r="DZ144" s="80" t="s">
        <v>23</v>
      </c>
      <c r="EA144" s="80"/>
      <c r="EB144" s="80"/>
      <c r="EC144" s="80"/>
      <c r="ED144" s="80"/>
      <c r="EE144" s="80"/>
      <c r="EF144" s="80"/>
      <c r="EG144" s="80"/>
      <c r="EH144" s="80"/>
      <c r="EI144" s="80"/>
      <c r="EJ144" s="80" t="s">
        <v>24</v>
      </c>
      <c r="EK144" s="80"/>
      <c r="EL144" s="80"/>
      <c r="EM144" s="80"/>
      <c r="EN144" s="80"/>
      <c r="EO144" s="80"/>
      <c r="EP144" s="80"/>
      <c r="EQ144" s="80"/>
      <c r="ER144" s="80" t="s">
        <v>25</v>
      </c>
      <c r="ES144" s="80"/>
      <c r="ET144" s="80"/>
      <c r="EU144" s="80"/>
      <c r="EV144" s="80"/>
      <c r="EW144" s="80"/>
      <c r="EX144" s="80"/>
      <c r="EY144" s="20"/>
      <c r="EZ144" s="20"/>
      <c r="FA144" s="20"/>
      <c r="FB144" s="20"/>
      <c r="FC144" s="20"/>
      <c r="FD144" s="12"/>
    </row>
    <row r="145" spans="1:160" ht="4.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2"/>
      <c r="U145" s="12"/>
      <c r="V145" s="12"/>
      <c r="W145" s="20"/>
      <c r="X145" s="2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  <c r="CA145" s="20"/>
      <c r="CB145" s="20"/>
      <c r="CC145" s="12"/>
      <c r="CD145" s="12"/>
      <c r="CE145" s="12"/>
      <c r="CF145" s="20"/>
      <c r="CG145" s="20"/>
      <c r="CH145" s="20"/>
      <c r="CI145" s="20"/>
      <c r="CJ145" s="80"/>
      <c r="CK145" s="80"/>
      <c r="CL145" s="80"/>
      <c r="CM145" s="80"/>
      <c r="CN145" s="80"/>
      <c r="CO145" s="80"/>
      <c r="CP145" s="80"/>
      <c r="CQ145" s="80"/>
      <c r="CR145" s="80"/>
      <c r="CS145" s="80"/>
      <c r="CT145" s="80"/>
      <c r="CU145" s="80"/>
      <c r="CV145" s="80"/>
      <c r="CW145" s="80"/>
      <c r="CX145" s="80"/>
      <c r="CY145" s="80"/>
      <c r="CZ145" s="80"/>
      <c r="DA145" s="80"/>
      <c r="DB145" s="80"/>
      <c r="DC145" s="80"/>
      <c r="DD145" s="80"/>
      <c r="DE145" s="80"/>
      <c r="DF145" s="80"/>
      <c r="DG145" s="80"/>
      <c r="DH145" s="80"/>
      <c r="DI145" s="80"/>
      <c r="DJ145" s="80"/>
      <c r="DK145" s="80"/>
      <c r="DL145" s="80"/>
      <c r="DM145" s="80"/>
      <c r="DN145" s="80"/>
      <c r="DO145" s="80"/>
      <c r="DP145" s="20"/>
      <c r="DQ145" s="20"/>
      <c r="DR145" s="12"/>
      <c r="DS145" s="20"/>
      <c r="DT145" s="20"/>
      <c r="DU145" s="80"/>
      <c r="DV145" s="80"/>
      <c r="DW145" s="80"/>
      <c r="DX145" s="80"/>
      <c r="DY145" s="80"/>
      <c r="DZ145" s="80"/>
      <c r="EA145" s="80"/>
      <c r="EB145" s="80"/>
      <c r="EC145" s="80"/>
      <c r="ED145" s="80"/>
      <c r="EE145" s="80"/>
      <c r="EF145" s="80"/>
      <c r="EG145" s="80"/>
      <c r="EH145" s="80"/>
      <c r="EI145" s="80"/>
      <c r="EJ145" s="80"/>
      <c r="EK145" s="80"/>
      <c r="EL145" s="80"/>
      <c r="EM145" s="80"/>
      <c r="EN145" s="80"/>
      <c r="EO145" s="80"/>
      <c r="EP145" s="80"/>
      <c r="EQ145" s="80"/>
      <c r="ER145" s="80"/>
      <c r="ES145" s="80"/>
      <c r="ET145" s="80"/>
      <c r="EU145" s="80"/>
      <c r="EV145" s="80"/>
      <c r="EW145" s="80"/>
      <c r="EX145" s="80"/>
      <c r="EY145" s="20"/>
      <c r="EZ145" s="20"/>
      <c r="FA145" s="20"/>
      <c r="FB145" s="20"/>
      <c r="FC145" s="20"/>
      <c r="FD145" s="12"/>
    </row>
    <row r="146" spans="1:160" ht="4.5" customHeight="1">
      <c r="A146" s="11"/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11"/>
      <c r="S146" s="11"/>
      <c r="T146" s="12"/>
      <c r="U146" s="12"/>
      <c r="V146" s="12"/>
      <c r="W146" s="20"/>
      <c r="X146" s="2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  <c r="CA146" s="20"/>
      <c r="CB146" s="20"/>
      <c r="CC146" s="12"/>
      <c r="CD146" s="12"/>
      <c r="CE146" s="12"/>
      <c r="CF146" s="20"/>
      <c r="CG146" s="20"/>
      <c r="CH146" s="20"/>
      <c r="CI146" s="20"/>
      <c r="CJ146" s="80"/>
      <c r="CK146" s="80"/>
      <c r="CL146" s="80"/>
      <c r="CM146" s="80"/>
      <c r="CN146" s="80"/>
      <c r="CO146" s="80"/>
      <c r="CP146" s="80"/>
      <c r="CQ146" s="80"/>
      <c r="CR146" s="80"/>
      <c r="CS146" s="80"/>
      <c r="CT146" s="80"/>
      <c r="CU146" s="80"/>
      <c r="CV146" s="80"/>
      <c r="CW146" s="80"/>
      <c r="CX146" s="80"/>
      <c r="CY146" s="80"/>
      <c r="CZ146" s="80"/>
      <c r="DA146" s="80"/>
      <c r="DB146" s="80"/>
      <c r="DC146" s="80"/>
      <c r="DD146" s="80"/>
      <c r="DE146" s="80"/>
      <c r="DF146" s="80"/>
      <c r="DG146" s="80"/>
      <c r="DH146" s="80"/>
      <c r="DI146" s="80"/>
      <c r="DJ146" s="80"/>
      <c r="DK146" s="80"/>
      <c r="DL146" s="80"/>
      <c r="DM146" s="80"/>
      <c r="DN146" s="80"/>
      <c r="DO146" s="80"/>
      <c r="DP146" s="20"/>
      <c r="DQ146" s="20"/>
      <c r="DR146" s="12"/>
      <c r="DS146" s="20"/>
      <c r="DT146" s="20"/>
      <c r="DU146" s="80"/>
      <c r="DV146" s="80"/>
      <c r="DW146" s="80"/>
      <c r="DX146" s="80"/>
      <c r="DY146" s="80"/>
      <c r="DZ146" s="80"/>
      <c r="EA146" s="80"/>
      <c r="EB146" s="80"/>
      <c r="EC146" s="80"/>
      <c r="ED146" s="80"/>
      <c r="EE146" s="80"/>
      <c r="EF146" s="80"/>
      <c r="EG146" s="80"/>
      <c r="EH146" s="80"/>
      <c r="EI146" s="80"/>
      <c r="EJ146" s="80"/>
      <c r="EK146" s="80"/>
      <c r="EL146" s="80"/>
      <c r="EM146" s="80"/>
      <c r="EN146" s="80"/>
      <c r="EO146" s="80"/>
      <c r="EP146" s="80"/>
      <c r="EQ146" s="80"/>
      <c r="ER146" s="80"/>
      <c r="ES146" s="80"/>
      <c r="ET146" s="80"/>
      <c r="EU146" s="80"/>
      <c r="EV146" s="80"/>
      <c r="EW146" s="80"/>
      <c r="EX146" s="80"/>
      <c r="EY146" s="20"/>
      <c r="EZ146" s="20"/>
      <c r="FA146" s="20"/>
      <c r="FB146" s="20"/>
      <c r="FC146" s="20"/>
      <c r="FD146" s="12"/>
    </row>
    <row r="147" spans="1:160" ht="1.5" customHeight="1">
      <c r="A147" s="11"/>
      <c r="B147" s="81"/>
      <c r="C147" s="81"/>
      <c r="D147" s="81"/>
      <c r="E147" s="82" t="s">
        <v>135</v>
      </c>
      <c r="F147" s="82"/>
      <c r="G147" s="82"/>
      <c r="H147" s="82"/>
      <c r="I147" s="82"/>
      <c r="J147" s="82"/>
      <c r="K147" s="82"/>
      <c r="L147" s="82"/>
      <c r="M147" s="82"/>
      <c r="N147" s="82"/>
      <c r="O147" s="81"/>
      <c r="P147" s="81"/>
      <c r="Q147" s="81"/>
      <c r="R147" s="11"/>
      <c r="S147" s="11"/>
      <c r="T147" s="12"/>
      <c r="U147" s="12"/>
      <c r="V147" s="12"/>
      <c r="W147" s="20"/>
      <c r="X147" s="2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  <c r="CA147" s="20"/>
      <c r="CB147" s="20"/>
      <c r="CC147" s="12"/>
      <c r="CD147" s="12"/>
      <c r="CE147" s="12"/>
      <c r="CF147" s="20"/>
      <c r="CG147" s="20"/>
      <c r="CH147" s="20"/>
      <c r="CI147" s="20"/>
      <c r="CJ147" s="80"/>
      <c r="CK147" s="80"/>
      <c r="CL147" s="80"/>
      <c r="CM147" s="80"/>
      <c r="CN147" s="80"/>
      <c r="CO147" s="80"/>
      <c r="CP147" s="80"/>
      <c r="CQ147" s="80"/>
      <c r="CR147" s="80"/>
      <c r="CS147" s="80"/>
      <c r="CT147" s="80"/>
      <c r="CU147" s="80"/>
      <c r="CV147" s="80"/>
      <c r="CW147" s="80"/>
      <c r="CX147" s="80"/>
      <c r="CY147" s="80"/>
      <c r="CZ147" s="80"/>
      <c r="DA147" s="80"/>
      <c r="DB147" s="80"/>
      <c r="DC147" s="80"/>
      <c r="DD147" s="80"/>
      <c r="DE147" s="80"/>
      <c r="DF147" s="80"/>
      <c r="DG147" s="80"/>
      <c r="DH147" s="80"/>
      <c r="DI147" s="80"/>
      <c r="DJ147" s="80"/>
      <c r="DK147" s="80"/>
      <c r="DL147" s="80"/>
      <c r="DM147" s="80"/>
      <c r="DN147" s="80"/>
      <c r="DO147" s="80"/>
      <c r="DP147" s="20"/>
      <c r="DQ147" s="20"/>
      <c r="DR147" s="12"/>
      <c r="DS147" s="20"/>
      <c r="DT147" s="20"/>
      <c r="DU147" s="80"/>
      <c r="DV147" s="80"/>
      <c r="DW147" s="80"/>
      <c r="DX147" s="80"/>
      <c r="DY147" s="80"/>
      <c r="DZ147" s="80"/>
      <c r="EA147" s="80"/>
      <c r="EB147" s="80"/>
      <c r="EC147" s="80"/>
      <c r="ED147" s="80"/>
      <c r="EE147" s="80"/>
      <c r="EF147" s="80"/>
      <c r="EG147" s="80"/>
      <c r="EH147" s="80"/>
      <c r="EI147" s="80"/>
      <c r="EJ147" s="80"/>
      <c r="EK147" s="80"/>
      <c r="EL147" s="80"/>
      <c r="EM147" s="80"/>
      <c r="EN147" s="80"/>
      <c r="EO147" s="80"/>
      <c r="EP147" s="80"/>
      <c r="EQ147" s="80"/>
      <c r="ER147" s="80"/>
      <c r="ES147" s="80"/>
      <c r="ET147" s="80"/>
      <c r="EU147" s="80"/>
      <c r="EV147" s="80"/>
      <c r="EW147" s="80"/>
      <c r="EX147" s="80"/>
      <c r="EY147" s="20"/>
      <c r="EZ147" s="20"/>
      <c r="FA147" s="20"/>
      <c r="FB147" s="20"/>
      <c r="FC147" s="20"/>
      <c r="FD147" s="12"/>
    </row>
    <row r="148" spans="1:160" ht="3" customHeight="1">
      <c r="A148" s="11"/>
      <c r="B148" s="81"/>
      <c r="C148" s="81"/>
      <c r="D148" s="81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1"/>
      <c r="P148" s="81"/>
      <c r="Q148" s="81"/>
      <c r="R148" s="11"/>
      <c r="S148" s="11"/>
      <c r="T148" s="12"/>
      <c r="U148" s="12"/>
      <c r="V148" s="12"/>
      <c r="W148" s="20"/>
      <c r="X148" s="2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  <c r="CA148" s="20"/>
      <c r="CB148" s="20"/>
      <c r="CC148" s="12"/>
      <c r="CD148" s="12"/>
      <c r="CE148" s="12"/>
      <c r="CF148" s="20"/>
      <c r="CG148" s="20"/>
      <c r="CH148" s="20"/>
      <c r="CI148" s="20"/>
      <c r="CJ148" s="80"/>
      <c r="CK148" s="80"/>
      <c r="CL148" s="80"/>
      <c r="CM148" s="80"/>
      <c r="CN148" s="80"/>
      <c r="CO148" s="80"/>
      <c r="CP148" s="80"/>
      <c r="CQ148" s="80"/>
      <c r="CR148" s="80"/>
      <c r="CS148" s="80"/>
      <c r="CT148" s="80"/>
      <c r="CU148" s="80"/>
      <c r="CV148" s="80"/>
      <c r="CW148" s="80"/>
      <c r="CX148" s="80"/>
      <c r="CY148" s="80"/>
      <c r="CZ148" s="80"/>
      <c r="DA148" s="80"/>
      <c r="DB148" s="80"/>
      <c r="DC148" s="80"/>
      <c r="DD148" s="80"/>
      <c r="DE148" s="80"/>
      <c r="DF148" s="80"/>
      <c r="DG148" s="80"/>
      <c r="DH148" s="80"/>
      <c r="DI148" s="80"/>
      <c r="DJ148" s="80"/>
      <c r="DK148" s="80"/>
      <c r="DL148" s="80"/>
      <c r="DM148" s="80"/>
      <c r="DN148" s="80"/>
      <c r="DO148" s="80"/>
      <c r="DP148" s="20"/>
      <c r="DQ148" s="20"/>
      <c r="DR148" s="12"/>
      <c r="DS148" s="20"/>
      <c r="DT148" s="20"/>
      <c r="DU148" s="80"/>
      <c r="DV148" s="80"/>
      <c r="DW148" s="80"/>
      <c r="DX148" s="80"/>
      <c r="DY148" s="80"/>
      <c r="DZ148" s="80"/>
      <c r="EA148" s="80"/>
      <c r="EB148" s="80"/>
      <c r="EC148" s="80"/>
      <c r="ED148" s="80"/>
      <c r="EE148" s="80"/>
      <c r="EF148" s="80"/>
      <c r="EG148" s="80"/>
      <c r="EH148" s="80"/>
      <c r="EI148" s="80"/>
      <c r="EJ148" s="80"/>
      <c r="EK148" s="80"/>
      <c r="EL148" s="80"/>
      <c r="EM148" s="80"/>
      <c r="EN148" s="80"/>
      <c r="EO148" s="80"/>
      <c r="EP148" s="80"/>
      <c r="EQ148" s="80"/>
      <c r="ER148" s="80"/>
      <c r="ES148" s="80"/>
      <c r="ET148" s="80"/>
      <c r="EU148" s="80"/>
      <c r="EV148" s="80"/>
      <c r="EW148" s="80"/>
      <c r="EX148" s="80"/>
      <c r="EY148" s="20"/>
      <c r="EZ148" s="20"/>
      <c r="FA148" s="20"/>
      <c r="FB148" s="20"/>
      <c r="FC148" s="20"/>
      <c r="FD148" s="12"/>
    </row>
    <row r="149" spans="1:160" ht="1.5" customHeight="1">
      <c r="A149" s="11"/>
      <c r="B149" s="81"/>
      <c r="C149" s="81"/>
      <c r="D149" s="81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1"/>
      <c r="P149" s="81"/>
      <c r="Q149" s="81"/>
      <c r="R149" s="11"/>
      <c r="S149" s="11"/>
      <c r="T149" s="12"/>
      <c r="U149" s="12"/>
      <c r="V149" s="12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12"/>
      <c r="CD149" s="12"/>
      <c r="CE149" s="12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12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12"/>
    </row>
    <row r="150" spans="1:160" ht="9" customHeight="1">
      <c r="A150" s="11"/>
      <c r="B150" s="81"/>
      <c r="C150" s="81"/>
      <c r="D150" s="81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1"/>
      <c r="P150" s="81"/>
      <c r="Q150" s="81"/>
      <c r="R150" s="11"/>
      <c r="S150" s="11"/>
      <c r="T150" s="12"/>
      <c r="U150" s="12"/>
      <c r="V150" s="12"/>
      <c r="W150" s="20"/>
      <c r="X150" s="20"/>
      <c r="Y150" s="83">
        <f>Calcoli!$A$36</f>
        <v/>
      </c>
      <c r="Z150" s="83"/>
      <c r="AA150" s="83"/>
      <c r="AB150" s="83"/>
      <c r="AC150" s="83"/>
      <c r="AD150" s="83">
        <f>Calcoli!$B$36</f>
        <v/>
      </c>
      <c r="AE150" s="83"/>
      <c r="AF150" s="83"/>
      <c r="AG150" s="83"/>
      <c r="AH150" s="83"/>
      <c r="AI150" s="83"/>
      <c r="AJ150" s="84">
        <f>IF(Calcoli!$A$36="","",Calcoli!$D$36)</f>
        <v/>
      </c>
      <c r="AK150" s="84"/>
      <c r="AL150" s="84"/>
      <c r="AM150" s="84"/>
      <c r="AN150" s="84"/>
      <c r="AO150" s="84"/>
      <c r="AP150" s="84">
        <f>IF(Calcoli!$A$36="","",Calcoli!$E$36)</f>
        <v/>
      </c>
      <c r="AQ150" s="84"/>
      <c r="AR150" s="84"/>
      <c r="AS150" s="84"/>
      <c r="AT150" s="84"/>
      <c r="AU150" s="84"/>
      <c r="AV150" s="84"/>
      <c r="AW150" s="84"/>
      <c r="AX150" s="84"/>
      <c r="AY150" s="84">
        <f>IF(Calcoli!$A$36="","",Calcoli!$F$36)</f>
        <v/>
      </c>
      <c r="AZ150" s="84"/>
      <c r="BA150" s="84">
        <f>IF(Calcoli!$A$36="","",Calcoli!$G$36)</f>
        <v/>
      </c>
      <c r="BB150" s="84"/>
      <c r="BC150" s="84"/>
      <c r="BD150" s="84"/>
      <c r="BE150" s="84"/>
      <c r="BF150" s="84"/>
      <c r="BG150" s="84"/>
      <c r="BH150" s="84"/>
      <c r="BI150" s="84"/>
      <c r="BJ150" s="84">
        <f>IF(Calcoli!$A$36="","",Calcoli!$I$36)</f>
        <v/>
      </c>
      <c r="BK150" s="84"/>
      <c r="BL150" s="84"/>
      <c r="BM150" s="84"/>
      <c r="BN150" s="84"/>
      <c r="BO150" s="84"/>
      <c r="BP150" s="84"/>
      <c r="BQ150" s="84"/>
      <c r="BR150" s="84"/>
      <c r="BS150" s="84">
        <f>IF(Calcoli!$A$36="","",Calcoli!$J$36)</f>
        <v/>
      </c>
      <c r="BT150" s="84"/>
      <c r="BU150" s="85">
        <f>IF(Calcoli!$A$36="","",Calcoli!$K$36)</f>
        <v/>
      </c>
      <c r="BV150" s="85"/>
      <c r="BW150" s="85"/>
      <c r="BX150" s="85"/>
      <c r="BY150" s="85"/>
      <c r="BZ150" s="85"/>
      <c r="CA150" s="20"/>
      <c r="CB150" s="20"/>
      <c r="CC150" s="12"/>
      <c r="CD150" s="12"/>
      <c r="CE150" s="12"/>
      <c r="CF150" s="20"/>
      <c r="CG150" s="20"/>
      <c r="CH150" s="20"/>
      <c r="CI150" s="20"/>
      <c r="CJ150" s="83">
        <f>Calcoli!$A$45</f>
        <v/>
      </c>
      <c r="CK150" s="83"/>
      <c r="CL150" s="83"/>
      <c r="CM150" s="83"/>
      <c r="CN150" s="83"/>
      <c r="CO150" s="83"/>
      <c r="CP150" s="83"/>
      <c r="CQ150" s="83"/>
      <c r="CR150" s="83"/>
      <c r="CS150" s="83"/>
      <c r="CT150" s="83"/>
      <c r="CU150" s="84">
        <f>IF(Calcoli!$A$45="","",Calcoli!$C$45)</f>
        <v/>
      </c>
      <c r="CV150" s="84"/>
      <c r="CW150" s="84"/>
      <c r="CX150" s="84"/>
      <c r="CY150" s="84"/>
      <c r="CZ150" s="84">
        <f>IF(Calcoli!$A$45="","",Calcoli!$D$45)</f>
        <v/>
      </c>
      <c r="DA150" s="84"/>
      <c r="DB150" s="84"/>
      <c r="DC150" s="84"/>
      <c r="DD150" s="84"/>
      <c r="DE150" s="84"/>
      <c r="DF150" s="84"/>
      <c r="DG150" s="84"/>
      <c r="DH150" s="84"/>
      <c r="DI150" s="84"/>
      <c r="DJ150" s="84"/>
      <c r="DK150" s="84">
        <f>IF(Calcoli!$A$45="","",Calcoli!$E$45)</f>
        <v/>
      </c>
      <c r="DL150" s="84"/>
      <c r="DM150" s="84"/>
      <c r="DN150" s="84"/>
      <c r="DO150" s="84"/>
      <c r="DP150" s="20"/>
      <c r="DQ150" s="20"/>
      <c r="DR150" s="12"/>
      <c r="DS150" s="20"/>
      <c r="DT150" s="20"/>
      <c r="DU150" s="83" t="str">
        <f>Calcoli!$B$55</f>
        <v>Lug-26</v>
      </c>
      <c r="DV150" s="83"/>
      <c r="DW150" s="83"/>
      <c r="DX150" s="83"/>
      <c r="DY150" s="83"/>
      <c r="DZ150" s="84">
        <f>Calcoli!$C$55</f>
        <v>0</v>
      </c>
      <c r="EA150" s="84"/>
      <c r="EB150" s="84"/>
      <c r="EC150" s="84"/>
      <c r="ED150" s="84"/>
      <c r="EE150" s="84"/>
      <c r="EF150" s="84"/>
      <c r="EG150" s="84"/>
      <c r="EH150" s="84"/>
      <c r="EI150" s="84"/>
      <c r="EJ150" s="84">
        <f>Calcoli!$D$55</f>
        <v>0</v>
      </c>
      <c r="EK150" s="84"/>
      <c r="EL150" s="84"/>
      <c r="EM150" s="84"/>
      <c r="EN150" s="84"/>
      <c r="EO150" s="84"/>
      <c r="EP150" s="84"/>
      <c r="EQ150" s="84"/>
      <c r="ER150" s="84">
        <f>Calcoli!$E$55</f>
        <v>0</v>
      </c>
      <c r="ES150" s="84"/>
      <c r="ET150" s="84"/>
      <c r="EU150" s="84"/>
      <c r="EV150" s="84"/>
      <c r="EW150" s="84"/>
      <c r="EX150" s="84"/>
      <c r="EY150" s="20"/>
      <c r="EZ150" s="20"/>
      <c r="FA150" s="20"/>
      <c r="FB150" s="20"/>
      <c r="FC150" s="20"/>
      <c r="FD150" s="12"/>
    </row>
    <row r="151" spans="1:160" ht="6" customHeight="1">
      <c r="A151" s="11"/>
      <c r="B151" s="81"/>
      <c r="C151" s="81"/>
      <c r="D151" s="86" t="s">
        <v>136</v>
      </c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1"/>
      <c r="P151" s="81"/>
      <c r="Q151" s="81"/>
      <c r="R151" s="11"/>
      <c r="S151" s="11"/>
      <c r="T151" s="12"/>
      <c r="U151" s="12"/>
      <c r="V151" s="12"/>
      <c r="W151" s="20"/>
      <c r="X151" s="20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4"/>
      <c r="AK151" s="84"/>
      <c r="AL151" s="84"/>
      <c r="AM151" s="84"/>
      <c r="AN151" s="84"/>
      <c r="AO151" s="84"/>
      <c r="AP151" s="84"/>
      <c r="AQ151" s="84"/>
      <c r="AR151" s="84"/>
      <c r="AS151" s="84"/>
      <c r="AT151" s="84"/>
      <c r="AU151" s="84"/>
      <c r="AV151" s="84"/>
      <c r="AW151" s="84"/>
      <c r="AX151" s="84"/>
      <c r="AY151" s="84"/>
      <c r="AZ151" s="84"/>
      <c r="BA151" s="84"/>
      <c r="BB151" s="84"/>
      <c r="BC151" s="84"/>
      <c r="BD151" s="84"/>
      <c r="BE151" s="84"/>
      <c r="BF151" s="84"/>
      <c r="BG151" s="84"/>
      <c r="BH151" s="84"/>
      <c r="BI151" s="84"/>
      <c r="BJ151" s="84"/>
      <c r="BK151" s="84"/>
      <c r="BL151" s="84"/>
      <c r="BM151" s="84"/>
      <c r="BN151" s="84"/>
      <c r="BO151" s="84"/>
      <c r="BP151" s="84"/>
      <c r="BQ151" s="84"/>
      <c r="BR151" s="84"/>
      <c r="BS151" s="84"/>
      <c r="BT151" s="84"/>
      <c r="BU151" s="85"/>
      <c r="BV151" s="85"/>
      <c r="BW151" s="85"/>
      <c r="BX151" s="85"/>
      <c r="BY151" s="85"/>
      <c r="BZ151" s="85"/>
      <c r="CA151" s="20"/>
      <c r="CB151" s="20"/>
      <c r="CC151" s="12"/>
      <c r="CD151" s="12"/>
      <c r="CE151" s="12"/>
      <c r="CF151" s="20"/>
      <c r="CG151" s="20"/>
      <c r="CH151" s="20"/>
      <c r="CI151" s="20"/>
      <c r="CJ151" s="83"/>
      <c r="CK151" s="83"/>
      <c r="CL151" s="83"/>
      <c r="CM151" s="83"/>
      <c r="CN151" s="83"/>
      <c r="CO151" s="83"/>
      <c r="CP151" s="83"/>
      <c r="CQ151" s="83"/>
      <c r="CR151" s="83"/>
      <c r="CS151" s="83"/>
      <c r="CT151" s="83"/>
      <c r="CU151" s="84"/>
      <c r="CV151" s="84"/>
      <c r="CW151" s="84"/>
      <c r="CX151" s="84"/>
      <c r="CY151" s="84"/>
      <c r="CZ151" s="84"/>
      <c r="DA151" s="84"/>
      <c r="DB151" s="84"/>
      <c r="DC151" s="84"/>
      <c r="DD151" s="84"/>
      <c r="DE151" s="84"/>
      <c r="DF151" s="84"/>
      <c r="DG151" s="84"/>
      <c r="DH151" s="84"/>
      <c r="DI151" s="84"/>
      <c r="DJ151" s="84"/>
      <c r="DK151" s="84"/>
      <c r="DL151" s="84"/>
      <c r="DM151" s="84"/>
      <c r="DN151" s="84"/>
      <c r="DO151" s="84"/>
      <c r="DP151" s="20"/>
      <c r="DQ151" s="20"/>
      <c r="DR151" s="12"/>
      <c r="DS151" s="20"/>
      <c r="DT151" s="20"/>
      <c r="DU151" s="83"/>
      <c r="DV151" s="83"/>
      <c r="DW151" s="83"/>
      <c r="DX151" s="83"/>
      <c r="DY151" s="83"/>
      <c r="DZ151" s="84"/>
      <c r="EA151" s="84"/>
      <c r="EB151" s="84"/>
      <c r="EC151" s="84"/>
      <c r="ED151" s="84"/>
      <c r="EE151" s="84"/>
      <c r="EF151" s="84"/>
      <c r="EG151" s="84"/>
      <c r="EH151" s="84"/>
      <c r="EI151" s="84"/>
      <c r="EJ151" s="84"/>
      <c r="EK151" s="84"/>
      <c r="EL151" s="84"/>
      <c r="EM151" s="84"/>
      <c r="EN151" s="84"/>
      <c r="EO151" s="84"/>
      <c r="EP151" s="84"/>
      <c r="EQ151" s="84"/>
      <c r="ER151" s="84"/>
      <c r="ES151" s="84"/>
      <c r="ET151" s="84"/>
      <c r="EU151" s="84"/>
      <c r="EV151" s="84"/>
      <c r="EW151" s="84"/>
      <c r="EX151" s="84"/>
      <c r="EY151" s="20"/>
      <c r="EZ151" s="20"/>
      <c r="FA151" s="20"/>
      <c r="FB151" s="20"/>
      <c r="FC151" s="20"/>
      <c r="FD151" s="12"/>
    </row>
    <row r="152" spans="1:160">
      <c r="A152" s="11"/>
      <c r="B152" s="81"/>
      <c r="C152" s="81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1"/>
      <c r="P152" s="81"/>
      <c r="Q152" s="81"/>
      <c r="R152" s="11"/>
      <c r="S152" s="11"/>
      <c r="T152" s="12"/>
      <c r="U152" s="12"/>
      <c r="V152" s="12"/>
      <c r="W152" s="20"/>
      <c r="X152" s="20"/>
      <c r="Y152" s="87">
        <f>Calcoli!$A$37</f>
        <v/>
      </c>
      <c r="Z152" s="87"/>
      <c r="AA152" s="87"/>
      <c r="AB152" s="87"/>
      <c r="AC152" s="87"/>
      <c r="AD152" s="87">
        <f>Calcoli!$B$37</f>
        <v/>
      </c>
      <c r="AE152" s="87"/>
      <c r="AF152" s="87"/>
      <c r="AG152" s="87"/>
      <c r="AH152" s="87"/>
      <c r="AI152" s="87"/>
      <c r="AJ152" s="88">
        <f>IF(Calcoli!$A$37="","",Calcoli!$D$37)</f>
        <v/>
      </c>
      <c r="AK152" s="88"/>
      <c r="AL152" s="88"/>
      <c r="AM152" s="88"/>
      <c r="AN152" s="88"/>
      <c r="AO152" s="88"/>
      <c r="AP152" s="88">
        <f>IF(Calcoli!$A$37="","",Calcoli!$E$37)</f>
        <v/>
      </c>
      <c r="AQ152" s="88"/>
      <c r="AR152" s="88"/>
      <c r="AS152" s="88"/>
      <c r="AT152" s="88"/>
      <c r="AU152" s="88"/>
      <c r="AV152" s="88"/>
      <c r="AW152" s="88"/>
      <c r="AX152" s="88"/>
      <c r="AY152" s="88">
        <f>IF(Calcoli!$A$37="","",Calcoli!$F$37)</f>
        <v/>
      </c>
      <c r="AZ152" s="88"/>
      <c r="BA152" s="88">
        <f>IF(Calcoli!$A$37="","",Calcoli!$G$37)</f>
        <v/>
      </c>
      <c r="BB152" s="88"/>
      <c r="BC152" s="88"/>
      <c r="BD152" s="88"/>
      <c r="BE152" s="88"/>
      <c r="BF152" s="88"/>
      <c r="BG152" s="88"/>
      <c r="BH152" s="88"/>
      <c r="BI152" s="88"/>
      <c r="BJ152" s="88">
        <f>IF(Calcoli!$A$37="","",Calcoli!$I$37)</f>
        <v/>
      </c>
      <c r="BK152" s="88"/>
      <c r="BL152" s="88"/>
      <c r="BM152" s="88"/>
      <c r="BN152" s="88"/>
      <c r="BO152" s="88"/>
      <c r="BP152" s="88"/>
      <c r="BQ152" s="88"/>
      <c r="BR152" s="88"/>
      <c r="BS152" s="88">
        <f>IF(Calcoli!$A$37="","",Calcoli!$J$37)</f>
        <v/>
      </c>
      <c r="BT152" s="88"/>
      <c r="BU152" s="89">
        <f>IF(Calcoli!$A$37="","",Calcoli!$K$37)</f>
        <v/>
      </c>
      <c r="BV152" s="89"/>
      <c r="BW152" s="89"/>
      <c r="BX152" s="89"/>
      <c r="BY152" s="89"/>
      <c r="BZ152" s="89"/>
      <c r="CA152" s="20"/>
      <c r="CB152" s="20"/>
      <c r="CC152" s="12"/>
      <c r="CD152" s="12"/>
      <c r="CE152" s="12"/>
      <c r="CF152" s="20"/>
      <c r="CG152" s="20"/>
      <c r="CH152" s="20"/>
      <c r="CI152" s="20"/>
      <c r="CJ152" s="87">
        <f>Calcoli!$A$46</f>
        <v/>
      </c>
      <c r="CK152" s="87"/>
      <c r="CL152" s="87"/>
      <c r="CM152" s="87"/>
      <c r="CN152" s="87"/>
      <c r="CO152" s="87"/>
      <c r="CP152" s="87"/>
      <c r="CQ152" s="87"/>
      <c r="CR152" s="87"/>
      <c r="CS152" s="87"/>
      <c r="CT152" s="87"/>
      <c r="CU152" s="88">
        <f>IF(Calcoli!$A$46="","",Calcoli!$C$46)</f>
        <v/>
      </c>
      <c r="CV152" s="88"/>
      <c r="CW152" s="88"/>
      <c r="CX152" s="88"/>
      <c r="CY152" s="88"/>
      <c r="CZ152" s="88">
        <f>IF(Calcoli!$A$46="","",Calcoli!$D$46)</f>
        <v/>
      </c>
      <c r="DA152" s="88"/>
      <c r="DB152" s="88"/>
      <c r="DC152" s="88"/>
      <c r="DD152" s="88"/>
      <c r="DE152" s="88"/>
      <c r="DF152" s="88"/>
      <c r="DG152" s="88"/>
      <c r="DH152" s="88"/>
      <c r="DI152" s="88"/>
      <c r="DJ152" s="88"/>
      <c r="DK152" s="88">
        <f>IF(Calcoli!$A$46="","",Calcoli!$E$46)</f>
        <v/>
      </c>
      <c r="DL152" s="88"/>
      <c r="DM152" s="88"/>
      <c r="DN152" s="88"/>
      <c r="DO152" s="88"/>
      <c r="DP152" s="20"/>
      <c r="DQ152" s="20"/>
      <c r="DR152" s="12"/>
      <c r="DS152" s="20"/>
      <c r="DT152" s="20"/>
      <c r="DU152" s="87" t="str">
        <f>Calcoli!$B$56</f>
        <v>Ago-26</v>
      </c>
      <c r="DV152" s="87"/>
      <c r="DW152" s="87"/>
      <c r="DX152" s="87"/>
      <c r="DY152" s="87"/>
      <c r="DZ152" s="88">
        <f>Calcoli!$C$56</f>
        <v>0</v>
      </c>
      <c r="EA152" s="88"/>
      <c r="EB152" s="88"/>
      <c r="EC152" s="88"/>
      <c r="ED152" s="88"/>
      <c r="EE152" s="88"/>
      <c r="EF152" s="88"/>
      <c r="EG152" s="88"/>
      <c r="EH152" s="88"/>
      <c r="EI152" s="88"/>
      <c r="EJ152" s="88">
        <f>Calcoli!$D$56</f>
        <v>0</v>
      </c>
      <c r="EK152" s="88"/>
      <c r="EL152" s="88"/>
      <c r="EM152" s="88"/>
      <c r="EN152" s="88"/>
      <c r="EO152" s="88"/>
      <c r="EP152" s="88"/>
      <c r="EQ152" s="88"/>
      <c r="ER152" s="88">
        <f>Calcoli!$E$56</f>
        <v>0</v>
      </c>
      <c r="ES152" s="88"/>
      <c r="ET152" s="88"/>
      <c r="EU152" s="88"/>
      <c r="EV152" s="88"/>
      <c r="EW152" s="88"/>
      <c r="EX152" s="88"/>
      <c r="EY152" s="20"/>
      <c r="EZ152" s="20"/>
      <c r="FA152" s="20"/>
      <c r="FB152" s="20"/>
      <c r="FC152" s="20"/>
      <c r="FD152" s="12"/>
    </row>
    <row r="153" spans="1:160">
      <c r="A153" s="11"/>
      <c r="B153" s="81"/>
      <c r="C153" s="81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1"/>
      <c r="P153" s="81"/>
      <c r="Q153" s="81"/>
      <c r="R153" s="11"/>
      <c r="S153" s="11"/>
      <c r="T153" s="12"/>
      <c r="U153" s="12"/>
      <c r="V153" s="12"/>
      <c r="W153" s="20"/>
      <c r="X153" s="20"/>
      <c r="Y153" s="83">
        <f>Calcoli!$A$38</f>
        <v/>
      </c>
      <c r="Z153" s="83"/>
      <c r="AA153" s="83"/>
      <c r="AB153" s="83"/>
      <c r="AC153" s="83"/>
      <c r="AD153" s="83">
        <f>Calcoli!$B$38</f>
        <v/>
      </c>
      <c r="AE153" s="83"/>
      <c r="AF153" s="83"/>
      <c r="AG153" s="83"/>
      <c r="AH153" s="83"/>
      <c r="AI153" s="83"/>
      <c r="AJ153" s="84">
        <f>IF(Calcoli!$A$38="","",Calcoli!$D$38)</f>
        <v/>
      </c>
      <c r="AK153" s="84"/>
      <c r="AL153" s="84"/>
      <c r="AM153" s="84"/>
      <c r="AN153" s="84"/>
      <c r="AO153" s="84"/>
      <c r="AP153" s="84">
        <f>IF(Calcoli!$A$38="","",Calcoli!$E$38)</f>
        <v/>
      </c>
      <c r="AQ153" s="84"/>
      <c r="AR153" s="84"/>
      <c r="AS153" s="84"/>
      <c r="AT153" s="84"/>
      <c r="AU153" s="84"/>
      <c r="AV153" s="84"/>
      <c r="AW153" s="84"/>
      <c r="AX153" s="84"/>
      <c r="AY153" s="84">
        <f>IF(Calcoli!$A$38="","",Calcoli!$F$38)</f>
        <v/>
      </c>
      <c r="AZ153" s="84"/>
      <c r="BA153" s="84">
        <f>IF(Calcoli!$A$38="","",Calcoli!$G$38)</f>
        <v/>
      </c>
      <c r="BB153" s="84"/>
      <c r="BC153" s="84"/>
      <c r="BD153" s="84"/>
      <c r="BE153" s="84"/>
      <c r="BF153" s="84"/>
      <c r="BG153" s="84"/>
      <c r="BH153" s="84"/>
      <c r="BI153" s="84"/>
      <c r="BJ153" s="84">
        <f>IF(Calcoli!$A$38="","",Calcoli!$I$38)</f>
        <v/>
      </c>
      <c r="BK153" s="84"/>
      <c r="BL153" s="84"/>
      <c r="BM153" s="84"/>
      <c r="BN153" s="84"/>
      <c r="BO153" s="84"/>
      <c r="BP153" s="84"/>
      <c r="BQ153" s="84"/>
      <c r="BR153" s="84"/>
      <c r="BS153" s="84">
        <f>IF(Calcoli!$A$38="","",Calcoli!$J$38)</f>
        <v/>
      </c>
      <c r="BT153" s="84"/>
      <c r="BU153" s="85">
        <f>IF(Calcoli!$A$38="","",Calcoli!$K$38)</f>
        <v/>
      </c>
      <c r="BV153" s="85"/>
      <c r="BW153" s="85"/>
      <c r="BX153" s="85"/>
      <c r="BY153" s="85"/>
      <c r="BZ153" s="85"/>
      <c r="CA153" s="20"/>
      <c r="CB153" s="20"/>
      <c r="CC153" s="12"/>
      <c r="CD153" s="12"/>
      <c r="CE153" s="12"/>
      <c r="CF153" s="20"/>
      <c r="CG153" s="20"/>
      <c r="CH153" s="20"/>
      <c r="CI153" s="20"/>
      <c r="CJ153" s="83">
        <f>Calcoli!$A$47</f>
        <v/>
      </c>
      <c r="CK153" s="83"/>
      <c r="CL153" s="83"/>
      <c r="CM153" s="83"/>
      <c r="CN153" s="83"/>
      <c r="CO153" s="83"/>
      <c r="CP153" s="83"/>
      <c r="CQ153" s="83"/>
      <c r="CR153" s="83"/>
      <c r="CS153" s="83"/>
      <c r="CT153" s="83"/>
      <c r="CU153" s="84">
        <f>IF(Calcoli!$A$47="","",Calcoli!$C$47)</f>
        <v/>
      </c>
      <c r="CV153" s="84"/>
      <c r="CW153" s="84"/>
      <c r="CX153" s="84"/>
      <c r="CY153" s="84"/>
      <c r="CZ153" s="84">
        <f>IF(Calcoli!$A$47="","",Calcoli!$D$47)</f>
        <v/>
      </c>
      <c r="DA153" s="84"/>
      <c r="DB153" s="84"/>
      <c r="DC153" s="84"/>
      <c r="DD153" s="84"/>
      <c r="DE153" s="84"/>
      <c r="DF153" s="84"/>
      <c r="DG153" s="84"/>
      <c r="DH153" s="84"/>
      <c r="DI153" s="84"/>
      <c r="DJ153" s="84"/>
      <c r="DK153" s="84">
        <f>IF(Calcoli!$A$47="","",Calcoli!$E$47)</f>
        <v/>
      </c>
      <c r="DL153" s="84"/>
      <c r="DM153" s="84"/>
      <c r="DN153" s="84"/>
      <c r="DO153" s="84"/>
      <c r="DP153" s="20"/>
      <c r="DQ153" s="20"/>
      <c r="DR153" s="12"/>
      <c r="DS153" s="20"/>
      <c r="DT153" s="20"/>
      <c r="DU153" s="83" t="str">
        <f>Calcoli!$B$57</f>
        <v>Set-26</v>
      </c>
      <c r="DV153" s="83"/>
      <c r="DW153" s="83"/>
      <c r="DX153" s="83"/>
      <c r="DY153" s="83"/>
      <c r="DZ153" s="84">
        <f>Calcoli!$C$57</f>
        <v>0</v>
      </c>
      <c r="EA153" s="84"/>
      <c r="EB153" s="84"/>
      <c r="EC153" s="84"/>
      <c r="ED153" s="84"/>
      <c r="EE153" s="84"/>
      <c r="EF153" s="84"/>
      <c r="EG153" s="84"/>
      <c r="EH153" s="84"/>
      <c r="EI153" s="84"/>
      <c r="EJ153" s="84">
        <f>Calcoli!$D$57</f>
        <v>0</v>
      </c>
      <c r="EK153" s="84"/>
      <c r="EL153" s="84"/>
      <c r="EM153" s="84"/>
      <c r="EN153" s="84"/>
      <c r="EO153" s="84"/>
      <c r="EP153" s="84"/>
      <c r="EQ153" s="84"/>
      <c r="ER153" s="84">
        <f>Calcoli!$E$57</f>
        <v>0</v>
      </c>
      <c r="ES153" s="84"/>
      <c r="ET153" s="84"/>
      <c r="EU153" s="84"/>
      <c r="EV153" s="84"/>
      <c r="EW153" s="84"/>
      <c r="EX153" s="84"/>
      <c r="EY153" s="20"/>
      <c r="EZ153" s="20"/>
      <c r="FA153" s="20"/>
      <c r="FB153" s="20"/>
      <c r="FC153" s="20"/>
      <c r="FD153" s="12"/>
    </row>
    <row r="154" spans="1:160">
      <c r="A154" s="11"/>
      <c r="B154" s="81"/>
      <c r="C154" s="81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1"/>
      <c r="P154" s="81"/>
      <c r="Q154" s="81"/>
      <c r="R154" s="11"/>
      <c r="S154" s="11"/>
      <c r="T154" s="12"/>
      <c r="U154" s="12"/>
      <c r="V154" s="12"/>
      <c r="W154" s="20"/>
      <c r="X154" s="20"/>
      <c r="Y154" s="87">
        <f>Calcoli!$A$39</f>
        <v/>
      </c>
      <c r="Z154" s="87"/>
      <c r="AA154" s="87"/>
      <c r="AB154" s="87"/>
      <c r="AC154" s="87"/>
      <c r="AD154" s="87">
        <f>Calcoli!$B$39</f>
        <v/>
      </c>
      <c r="AE154" s="87"/>
      <c r="AF154" s="87"/>
      <c r="AG154" s="87"/>
      <c r="AH154" s="87"/>
      <c r="AI154" s="87"/>
      <c r="AJ154" s="88">
        <f>IF(Calcoli!$A$39="","",Calcoli!$D$39)</f>
        <v/>
      </c>
      <c r="AK154" s="88"/>
      <c r="AL154" s="88"/>
      <c r="AM154" s="88"/>
      <c r="AN154" s="88"/>
      <c r="AO154" s="88"/>
      <c r="AP154" s="88">
        <f>IF(Calcoli!$A$39="","",Calcoli!$E$39)</f>
        <v/>
      </c>
      <c r="AQ154" s="88"/>
      <c r="AR154" s="88"/>
      <c r="AS154" s="88"/>
      <c r="AT154" s="88"/>
      <c r="AU154" s="88"/>
      <c r="AV154" s="88"/>
      <c r="AW154" s="88"/>
      <c r="AX154" s="88"/>
      <c r="AY154" s="88">
        <f>IF(Calcoli!$A$39="","",Calcoli!$F$39)</f>
        <v/>
      </c>
      <c r="AZ154" s="88"/>
      <c r="BA154" s="88">
        <f>IF(Calcoli!$A$39="","",Calcoli!$G$39)</f>
        <v/>
      </c>
      <c r="BB154" s="88"/>
      <c r="BC154" s="88"/>
      <c r="BD154" s="88"/>
      <c r="BE154" s="88"/>
      <c r="BF154" s="88"/>
      <c r="BG154" s="88"/>
      <c r="BH154" s="88"/>
      <c r="BI154" s="88"/>
      <c r="BJ154" s="88">
        <f>IF(Calcoli!$A$39="","",Calcoli!$I$39)</f>
        <v/>
      </c>
      <c r="BK154" s="88"/>
      <c r="BL154" s="88"/>
      <c r="BM154" s="88"/>
      <c r="BN154" s="88"/>
      <c r="BO154" s="88"/>
      <c r="BP154" s="88"/>
      <c r="BQ154" s="88"/>
      <c r="BR154" s="88"/>
      <c r="BS154" s="88">
        <f>IF(Calcoli!$A$39="","",Calcoli!$J$39)</f>
        <v/>
      </c>
      <c r="BT154" s="88"/>
      <c r="BU154" s="89">
        <f>IF(Calcoli!$A$39="","",Calcoli!$K$39)</f>
        <v/>
      </c>
      <c r="BV154" s="89"/>
      <c r="BW154" s="89"/>
      <c r="BX154" s="89"/>
      <c r="BY154" s="89"/>
      <c r="BZ154" s="89"/>
      <c r="CA154" s="20"/>
      <c r="CB154" s="20"/>
      <c r="CC154" s="12"/>
      <c r="CD154" s="12"/>
      <c r="CE154" s="12"/>
      <c r="CF154" s="20"/>
      <c r="CG154" s="20"/>
      <c r="CH154" s="20"/>
      <c r="CI154" s="20"/>
      <c r="CJ154" s="87">
        <f>Calcoli!$A$48</f>
        <v/>
      </c>
      <c r="CK154" s="87"/>
      <c r="CL154" s="87"/>
      <c r="CM154" s="87"/>
      <c r="CN154" s="87"/>
      <c r="CO154" s="87"/>
      <c r="CP154" s="87"/>
      <c r="CQ154" s="87"/>
      <c r="CR154" s="87"/>
      <c r="CS154" s="87"/>
      <c r="CT154" s="87"/>
      <c r="CU154" s="88">
        <f>IF(Calcoli!$A$48="","",Calcoli!$C$48)</f>
        <v/>
      </c>
      <c r="CV154" s="88"/>
      <c r="CW154" s="88"/>
      <c r="CX154" s="88"/>
      <c r="CY154" s="88"/>
      <c r="CZ154" s="88">
        <f>IF(Calcoli!$A$48="","",Calcoli!$D$48)</f>
        <v/>
      </c>
      <c r="DA154" s="88"/>
      <c r="DB154" s="88"/>
      <c r="DC154" s="88"/>
      <c r="DD154" s="88"/>
      <c r="DE154" s="88"/>
      <c r="DF154" s="88"/>
      <c r="DG154" s="88"/>
      <c r="DH154" s="88"/>
      <c r="DI154" s="88"/>
      <c r="DJ154" s="88"/>
      <c r="DK154" s="88">
        <f>IF(Calcoli!$A$48="","",Calcoli!$E$48)</f>
        <v/>
      </c>
      <c r="DL154" s="88"/>
      <c r="DM154" s="88"/>
      <c r="DN154" s="88"/>
      <c r="DO154" s="88"/>
      <c r="DP154" s="20"/>
      <c r="DQ154" s="20"/>
      <c r="DR154" s="12"/>
      <c r="DS154" s="20"/>
      <c r="DT154" s="20"/>
      <c r="DU154" s="87" t="str">
        <f>Calcoli!$B$58</f>
        <v>Ott-26</v>
      </c>
      <c r="DV154" s="87"/>
      <c r="DW154" s="87"/>
      <c r="DX154" s="87"/>
      <c r="DY154" s="87"/>
      <c r="DZ154" s="88">
        <f>Calcoli!$C$58</f>
        <v>0</v>
      </c>
      <c r="EA154" s="88"/>
      <c r="EB154" s="88"/>
      <c r="EC154" s="88"/>
      <c r="ED154" s="88"/>
      <c r="EE154" s="88"/>
      <c r="EF154" s="88"/>
      <c r="EG154" s="88"/>
      <c r="EH154" s="88"/>
      <c r="EI154" s="88"/>
      <c r="EJ154" s="88">
        <f>Calcoli!$D$58</f>
        <v>0</v>
      </c>
      <c r="EK154" s="88"/>
      <c r="EL154" s="88"/>
      <c r="EM154" s="88"/>
      <c r="EN154" s="88"/>
      <c r="EO154" s="88"/>
      <c r="EP154" s="88"/>
      <c r="EQ154" s="88"/>
      <c r="ER154" s="88">
        <f>Calcoli!$E$58</f>
        <v>0</v>
      </c>
      <c r="ES154" s="88"/>
      <c r="ET154" s="88"/>
      <c r="EU154" s="88"/>
      <c r="EV154" s="88"/>
      <c r="EW154" s="88"/>
      <c r="EX154" s="88"/>
      <c r="EY154" s="20"/>
      <c r="EZ154" s="20"/>
      <c r="FA154" s="20"/>
      <c r="FB154" s="20"/>
      <c r="FC154" s="20"/>
      <c r="FD154" s="12"/>
    </row>
    <row r="155" spans="1:160">
      <c r="A155" s="11"/>
      <c r="B155" s="81"/>
      <c r="C155" s="81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1"/>
      <c r="P155" s="81"/>
      <c r="Q155" s="81"/>
      <c r="R155" s="11"/>
      <c r="S155" s="11"/>
      <c r="T155" s="12"/>
      <c r="U155" s="12"/>
      <c r="V155" s="12"/>
      <c r="W155" s="20"/>
      <c r="X155" s="20"/>
      <c r="Y155" s="83">
        <f>Calcoli!$A$40</f>
        <v/>
      </c>
      <c r="Z155" s="83"/>
      <c r="AA155" s="83"/>
      <c r="AB155" s="83"/>
      <c r="AC155" s="83"/>
      <c r="AD155" s="83">
        <f>Calcoli!$B$40</f>
        <v/>
      </c>
      <c r="AE155" s="83"/>
      <c r="AF155" s="83"/>
      <c r="AG155" s="83"/>
      <c r="AH155" s="83"/>
      <c r="AI155" s="83"/>
      <c r="AJ155" s="84">
        <f>IF(Calcoli!$A$40="","",Calcoli!$D$40)</f>
        <v/>
      </c>
      <c r="AK155" s="84"/>
      <c r="AL155" s="84"/>
      <c r="AM155" s="84"/>
      <c r="AN155" s="84"/>
      <c r="AO155" s="84"/>
      <c r="AP155" s="84">
        <f>IF(Calcoli!$A$40="","",Calcoli!$E$40)</f>
        <v/>
      </c>
      <c r="AQ155" s="84"/>
      <c r="AR155" s="84"/>
      <c r="AS155" s="84"/>
      <c r="AT155" s="84"/>
      <c r="AU155" s="84"/>
      <c r="AV155" s="84"/>
      <c r="AW155" s="84"/>
      <c r="AX155" s="84"/>
      <c r="AY155" s="84">
        <f>IF(Calcoli!$A$40="","",Calcoli!$F$40)</f>
        <v/>
      </c>
      <c r="AZ155" s="84"/>
      <c r="BA155" s="84">
        <f>IF(Calcoli!$A$40="","",Calcoli!$G$40)</f>
        <v/>
      </c>
      <c r="BB155" s="84"/>
      <c r="BC155" s="84"/>
      <c r="BD155" s="84"/>
      <c r="BE155" s="84"/>
      <c r="BF155" s="84"/>
      <c r="BG155" s="84"/>
      <c r="BH155" s="84"/>
      <c r="BI155" s="84"/>
      <c r="BJ155" s="84">
        <f>IF(Calcoli!$A$40="","",Calcoli!$I$40)</f>
        <v/>
      </c>
      <c r="BK155" s="84"/>
      <c r="BL155" s="84"/>
      <c r="BM155" s="84"/>
      <c r="BN155" s="84"/>
      <c r="BO155" s="84"/>
      <c r="BP155" s="84"/>
      <c r="BQ155" s="84"/>
      <c r="BR155" s="84"/>
      <c r="BS155" s="84">
        <f>IF(Calcoli!$A$40="","",Calcoli!$J$40)</f>
        <v/>
      </c>
      <c r="BT155" s="84"/>
      <c r="BU155" s="85">
        <f>IF(Calcoli!$A$40="","",Calcoli!$K$40)</f>
        <v/>
      </c>
      <c r="BV155" s="85"/>
      <c r="BW155" s="85"/>
      <c r="BX155" s="85"/>
      <c r="BY155" s="85"/>
      <c r="BZ155" s="85"/>
      <c r="CA155" s="20"/>
      <c r="CB155" s="20"/>
      <c r="CC155" s="12"/>
      <c r="CD155" s="12"/>
      <c r="CE155" s="12"/>
      <c r="CF155" s="20"/>
      <c r="CG155" s="20"/>
      <c r="CH155" s="20"/>
      <c r="CI155" s="20"/>
      <c r="CJ155" s="83">
        <f>Calcoli!$A$49</f>
        <v/>
      </c>
      <c r="CK155" s="83"/>
      <c r="CL155" s="83"/>
      <c r="CM155" s="83"/>
      <c r="CN155" s="83"/>
      <c r="CO155" s="83"/>
      <c r="CP155" s="83"/>
      <c r="CQ155" s="83"/>
      <c r="CR155" s="83"/>
      <c r="CS155" s="83"/>
      <c r="CT155" s="83"/>
      <c r="CU155" s="84">
        <f>IF(Calcoli!$A$49="","",Calcoli!$C$49)</f>
        <v/>
      </c>
      <c r="CV155" s="84"/>
      <c r="CW155" s="84"/>
      <c r="CX155" s="84"/>
      <c r="CY155" s="84"/>
      <c r="CZ155" s="84">
        <f>IF(Calcoli!$A$49="","",Calcoli!$D$49)</f>
        <v/>
      </c>
      <c r="DA155" s="84"/>
      <c r="DB155" s="84"/>
      <c r="DC155" s="84"/>
      <c r="DD155" s="84"/>
      <c r="DE155" s="84"/>
      <c r="DF155" s="84"/>
      <c r="DG155" s="84"/>
      <c r="DH155" s="84"/>
      <c r="DI155" s="84"/>
      <c r="DJ155" s="84"/>
      <c r="DK155" s="84">
        <f>IF(Calcoli!$A$49="","",Calcoli!$E$49)</f>
        <v/>
      </c>
      <c r="DL155" s="84"/>
      <c r="DM155" s="84"/>
      <c r="DN155" s="84"/>
      <c r="DO155" s="84"/>
      <c r="DP155" s="20"/>
      <c r="DQ155" s="20"/>
      <c r="DR155" s="12"/>
      <c r="DS155" s="20"/>
      <c r="DT155" s="20"/>
      <c r="DU155" s="83" t="str">
        <f>Calcoli!$B$59</f>
        <v>Nov-26</v>
      </c>
      <c r="DV155" s="83"/>
      <c r="DW155" s="83"/>
      <c r="DX155" s="83"/>
      <c r="DY155" s="83"/>
      <c r="DZ155" s="84">
        <f>Calcoli!$C$59</f>
        <v>0</v>
      </c>
      <c r="EA155" s="84"/>
      <c r="EB155" s="84"/>
      <c r="EC155" s="84"/>
      <c r="ED155" s="84"/>
      <c r="EE155" s="84"/>
      <c r="EF155" s="84"/>
      <c r="EG155" s="84"/>
      <c r="EH155" s="84"/>
      <c r="EI155" s="84"/>
      <c r="EJ155" s="84">
        <f>Calcoli!$D$59</f>
        <v>0</v>
      </c>
      <c r="EK155" s="84"/>
      <c r="EL155" s="84"/>
      <c r="EM155" s="84"/>
      <c r="EN155" s="84"/>
      <c r="EO155" s="84"/>
      <c r="EP155" s="84"/>
      <c r="EQ155" s="84"/>
      <c r="ER155" s="84">
        <f>Calcoli!$E$59</f>
        <v>0</v>
      </c>
      <c r="ES155" s="84"/>
      <c r="ET155" s="84"/>
      <c r="EU155" s="84"/>
      <c r="EV155" s="84"/>
      <c r="EW155" s="84"/>
      <c r="EX155" s="84"/>
      <c r="EY155" s="20"/>
      <c r="EZ155" s="20"/>
      <c r="FA155" s="20"/>
      <c r="FB155" s="20"/>
      <c r="FC155" s="20"/>
      <c r="FD155" s="12"/>
    </row>
    <row r="156" spans="1:160" ht="12" customHeight="1">
      <c r="A156" s="11"/>
      <c r="B156" s="81"/>
      <c r="C156" s="81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1"/>
      <c r="P156" s="81"/>
      <c r="Q156" s="81"/>
      <c r="R156" s="11"/>
      <c r="S156" s="11"/>
      <c r="T156" s="12"/>
      <c r="U156" s="12"/>
      <c r="V156" s="12"/>
      <c r="W156" s="20"/>
      <c r="X156" s="20"/>
      <c r="Y156" s="90" t="s">
        <v>16</v>
      </c>
      <c r="Z156" s="90"/>
      <c r="AA156" s="90"/>
      <c r="AB156" s="90"/>
      <c r="AC156" s="90"/>
      <c r="AD156" s="90" t="s">
        <v>163</v>
      </c>
      <c r="AE156" s="90"/>
      <c r="AF156" s="90"/>
      <c r="AG156" s="90"/>
      <c r="AH156" s="90"/>
      <c r="AI156" s="90"/>
      <c r="AJ156" s="91">
        <f>Calcoli!$D$41</f>
        <v>0</v>
      </c>
      <c r="AK156" s="91"/>
      <c r="AL156" s="91"/>
      <c r="AM156" s="91"/>
      <c r="AN156" s="91"/>
      <c r="AO156" s="91"/>
      <c r="AP156" s="91">
        <f>Calcoli!$E$41</f>
        <v>0</v>
      </c>
      <c r="AQ156" s="91"/>
      <c r="AR156" s="91"/>
      <c r="AS156" s="91"/>
      <c r="AT156" s="91"/>
      <c r="AU156" s="91"/>
      <c r="AV156" s="91"/>
      <c r="AW156" s="91"/>
      <c r="AX156" s="91"/>
      <c r="AY156" s="91">
        <f>Calcoli!$F$41</f>
        <v>0</v>
      </c>
      <c r="AZ156" s="91"/>
      <c r="BA156" s="91">
        <f>Calcoli!$G$41</f>
        <v>0</v>
      </c>
      <c r="BB156" s="91"/>
      <c r="BC156" s="91"/>
      <c r="BD156" s="91"/>
      <c r="BE156" s="91"/>
      <c r="BF156" s="91"/>
      <c r="BG156" s="91"/>
      <c r="BH156" s="91"/>
      <c r="BI156" s="91"/>
      <c r="BJ156" s="91">
        <f>Calcoli!$I$41</f>
        <v>0</v>
      </c>
      <c r="BK156" s="91"/>
      <c r="BL156" s="91"/>
      <c r="BM156" s="91"/>
      <c r="BN156" s="91"/>
      <c r="BO156" s="91"/>
      <c r="BP156" s="91"/>
      <c r="BQ156" s="91"/>
      <c r="BR156" s="91"/>
      <c r="BS156" s="91">
        <f>Calcoli!$J$41</f>
        <v>0</v>
      </c>
      <c r="BT156" s="91"/>
      <c r="BU156" s="92">
        <f>Calcoli!$K$41</f>
        <v>0</v>
      </c>
      <c r="BV156" s="92"/>
      <c r="BW156" s="92"/>
      <c r="BX156" s="92"/>
      <c r="BY156" s="92"/>
      <c r="BZ156" s="92"/>
      <c r="CA156" s="20"/>
      <c r="CB156" s="20"/>
      <c r="CC156" s="12"/>
      <c r="CD156" s="12"/>
      <c r="CE156" s="12"/>
      <c r="CF156" s="20"/>
      <c r="CG156" s="20"/>
      <c r="CH156" s="20"/>
      <c r="CI156" s="20"/>
      <c r="CJ156" s="87">
        <f>Calcoli!$A$50</f>
        <v/>
      </c>
      <c r="CK156" s="87"/>
      <c r="CL156" s="87"/>
      <c r="CM156" s="87"/>
      <c r="CN156" s="87"/>
      <c r="CO156" s="87"/>
      <c r="CP156" s="87"/>
      <c r="CQ156" s="87"/>
      <c r="CR156" s="87"/>
      <c r="CS156" s="87"/>
      <c r="CT156" s="87"/>
      <c r="CU156" s="88">
        <f>IF(Calcoli!$A$50="","",Calcoli!$C$50)</f>
        <v/>
      </c>
      <c r="CV156" s="88"/>
      <c r="CW156" s="88"/>
      <c r="CX156" s="88"/>
      <c r="CY156" s="88"/>
      <c r="CZ156" s="88">
        <f>IF(Calcoli!$A$50="","",Calcoli!$D$50)</f>
        <v/>
      </c>
      <c r="DA156" s="88"/>
      <c r="DB156" s="88"/>
      <c r="DC156" s="88"/>
      <c r="DD156" s="88"/>
      <c r="DE156" s="88"/>
      <c r="DF156" s="88"/>
      <c r="DG156" s="88"/>
      <c r="DH156" s="88"/>
      <c r="DI156" s="88"/>
      <c r="DJ156" s="88"/>
      <c r="DK156" s="88">
        <f>IF(Calcoli!$A$50="","",Calcoli!$E$50)</f>
        <v/>
      </c>
      <c r="DL156" s="88"/>
      <c r="DM156" s="88"/>
      <c r="DN156" s="88"/>
      <c r="DO156" s="88"/>
      <c r="DP156" s="20"/>
      <c r="DQ156" s="20"/>
      <c r="DR156" s="12"/>
      <c r="DS156" s="20"/>
      <c r="DT156" s="20"/>
      <c r="DU156" s="87" t="str">
        <f>Calcoli!$B$60</f>
        <v>Dic-26</v>
      </c>
      <c r="DV156" s="87"/>
      <c r="DW156" s="87"/>
      <c r="DX156" s="87"/>
      <c r="DY156" s="87"/>
      <c r="DZ156" s="88">
        <f>Calcoli!$C$60</f>
        <v>0</v>
      </c>
      <c r="EA156" s="88"/>
      <c r="EB156" s="88"/>
      <c r="EC156" s="88"/>
      <c r="ED156" s="88"/>
      <c r="EE156" s="88"/>
      <c r="EF156" s="88"/>
      <c r="EG156" s="88"/>
      <c r="EH156" s="88"/>
      <c r="EI156" s="88"/>
      <c r="EJ156" s="88">
        <f>Calcoli!$D$60</f>
        <v>0</v>
      </c>
      <c r="EK156" s="88"/>
      <c r="EL156" s="88"/>
      <c r="EM156" s="88"/>
      <c r="EN156" s="88"/>
      <c r="EO156" s="88"/>
      <c r="EP156" s="88"/>
      <c r="EQ156" s="88"/>
      <c r="ER156" s="88">
        <f>Calcoli!$E$60</f>
        <v>0</v>
      </c>
      <c r="ES156" s="88"/>
      <c r="ET156" s="88"/>
      <c r="EU156" s="88"/>
      <c r="EV156" s="88"/>
      <c r="EW156" s="88"/>
      <c r="EX156" s="88"/>
      <c r="EY156" s="20"/>
      <c r="EZ156" s="20"/>
      <c r="FA156" s="20"/>
      <c r="FB156" s="20"/>
      <c r="FC156" s="20"/>
      <c r="FD156" s="12"/>
    </row>
    <row r="157" spans="1:160" ht="3" customHeight="1">
      <c r="A157" s="11"/>
      <c r="B157" s="81"/>
      <c r="C157" s="81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1"/>
      <c r="P157" s="81"/>
      <c r="Q157" s="81"/>
      <c r="R157" s="11"/>
      <c r="S157" s="11"/>
      <c r="T157" s="12"/>
      <c r="U157" s="12"/>
      <c r="V157" s="12"/>
      <c r="W157" s="20"/>
      <c r="X157" s="2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91"/>
      <c r="BK157" s="91"/>
      <c r="BL157" s="91"/>
      <c r="BM157" s="91"/>
      <c r="BN157" s="91"/>
      <c r="BO157" s="91"/>
      <c r="BP157" s="91"/>
      <c r="BQ157" s="91"/>
      <c r="BR157" s="91"/>
      <c r="BS157" s="91"/>
      <c r="BT157" s="91"/>
      <c r="BU157" s="92"/>
      <c r="BV157" s="92"/>
      <c r="BW157" s="92"/>
      <c r="BX157" s="92"/>
      <c r="BY157" s="92"/>
      <c r="BZ157" s="92"/>
      <c r="CA157" s="20"/>
      <c r="CB157" s="20"/>
      <c r="CC157" s="12"/>
      <c r="CD157" s="12"/>
      <c r="CE157" s="12"/>
      <c r="CF157" s="20"/>
      <c r="CG157" s="20"/>
      <c r="CH157" s="20"/>
      <c r="CI157" s="20"/>
      <c r="CJ157" s="87"/>
      <c r="CK157" s="87"/>
      <c r="CL157" s="87"/>
      <c r="CM157" s="87"/>
      <c r="CN157" s="87"/>
      <c r="CO157" s="87"/>
      <c r="CP157" s="87"/>
      <c r="CQ157" s="87"/>
      <c r="CR157" s="87"/>
      <c r="CS157" s="87"/>
      <c r="CT157" s="87"/>
      <c r="CU157" s="88"/>
      <c r="CV157" s="88"/>
      <c r="CW157" s="88"/>
      <c r="CX157" s="88"/>
      <c r="CY157" s="88"/>
      <c r="CZ157" s="88"/>
      <c r="DA157" s="88"/>
      <c r="DB157" s="88"/>
      <c r="DC157" s="88"/>
      <c r="DD157" s="88"/>
      <c r="DE157" s="88"/>
      <c r="DF157" s="88"/>
      <c r="DG157" s="88"/>
      <c r="DH157" s="88"/>
      <c r="DI157" s="88"/>
      <c r="DJ157" s="88"/>
      <c r="DK157" s="88"/>
      <c r="DL157" s="88"/>
      <c r="DM157" s="88"/>
      <c r="DN157" s="88"/>
      <c r="DO157" s="88"/>
      <c r="DP157" s="20"/>
      <c r="DQ157" s="20"/>
      <c r="DR157" s="12"/>
      <c r="DS157" s="20"/>
      <c r="DT157" s="20"/>
      <c r="DU157" s="87"/>
      <c r="DV157" s="87"/>
      <c r="DW157" s="87"/>
      <c r="DX157" s="87"/>
      <c r="DY157" s="87"/>
      <c r="DZ157" s="88"/>
      <c r="EA157" s="88"/>
      <c r="EB157" s="88"/>
      <c r="EC157" s="88"/>
      <c r="ED157" s="88"/>
      <c r="EE157" s="88"/>
      <c r="EF157" s="88"/>
      <c r="EG157" s="88"/>
      <c r="EH157" s="88"/>
      <c r="EI157" s="88"/>
      <c r="EJ157" s="88"/>
      <c r="EK157" s="88"/>
      <c r="EL157" s="88"/>
      <c r="EM157" s="88"/>
      <c r="EN157" s="88"/>
      <c r="EO157" s="88"/>
      <c r="EP157" s="88"/>
      <c r="EQ157" s="88"/>
      <c r="ER157" s="88"/>
      <c r="ES157" s="88"/>
      <c r="ET157" s="88"/>
      <c r="EU157" s="88"/>
      <c r="EV157" s="88"/>
      <c r="EW157" s="88"/>
      <c r="EX157" s="88"/>
      <c r="EY157" s="20"/>
      <c r="EZ157" s="20"/>
      <c r="FA157" s="20"/>
      <c r="FB157" s="20"/>
      <c r="FC157" s="20"/>
      <c r="FD157" s="12"/>
    </row>
    <row r="158" spans="1:160" ht="3" customHeight="1">
      <c r="A158" s="11"/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11"/>
      <c r="S158" s="11"/>
      <c r="T158" s="12"/>
      <c r="U158" s="12"/>
      <c r="V158" s="12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12"/>
      <c r="CD158" s="12"/>
      <c r="CE158" s="12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12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12"/>
    </row>
    <row r="159" spans="1:160" ht="1.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2"/>
      <c r="U159" s="12"/>
      <c r="V159" s="12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12"/>
      <c r="CD159" s="12"/>
      <c r="CE159" s="12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12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12"/>
    </row>
    <row r="160" spans="1:160" ht="7.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</row>
    <row r="161" spans="1:160" ht="4.5" customHeight="1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  <c r="AS161" s="93"/>
      <c r="AT161" s="93"/>
      <c r="AU161" s="93"/>
      <c r="AV161" s="93"/>
      <c r="AW161" s="93"/>
      <c r="AX161" s="93"/>
      <c r="AY161" s="93"/>
      <c r="AZ161" s="93"/>
      <c r="BA161" s="93"/>
      <c r="BB161" s="93"/>
      <c r="BC161" s="93"/>
      <c r="BD161" s="93"/>
      <c r="BE161" s="93"/>
      <c r="BF161" s="93"/>
      <c r="BG161" s="93"/>
      <c r="BH161" s="93"/>
      <c r="BI161" s="93"/>
      <c r="BJ161" s="93"/>
      <c r="BK161" s="93"/>
      <c r="BL161" s="93"/>
      <c r="BM161" s="93"/>
      <c r="BN161" s="93"/>
      <c r="BO161" s="93"/>
      <c r="BP161" s="93"/>
      <c r="BQ161" s="93"/>
      <c r="BR161" s="93"/>
      <c r="BS161" s="93"/>
      <c r="BT161" s="93"/>
      <c r="BU161" s="93"/>
      <c r="BV161" s="93"/>
      <c r="BW161" s="93"/>
      <c r="BX161" s="93"/>
      <c r="BY161" s="93"/>
      <c r="BZ161" s="93"/>
      <c r="CA161" s="93"/>
      <c r="CB161" s="93"/>
      <c r="CC161" s="93"/>
      <c r="CD161" s="93"/>
      <c r="CE161" s="93"/>
      <c r="CF161" s="93"/>
      <c r="CG161" s="93"/>
      <c r="CH161" s="93"/>
      <c r="CI161" s="93"/>
      <c r="CJ161" s="93"/>
      <c r="CK161" s="93"/>
      <c r="CL161" s="93"/>
      <c r="CM161" s="93"/>
      <c r="CN161" s="93"/>
      <c r="CO161" s="93"/>
      <c r="CP161" s="93"/>
      <c r="CQ161" s="93"/>
      <c r="CR161" s="93"/>
      <c r="CS161" s="93"/>
      <c r="CT161" s="93"/>
      <c r="CU161" s="93"/>
      <c r="CV161" s="93"/>
      <c r="CW161" s="93"/>
      <c r="CX161" s="93"/>
      <c r="CY161" s="93"/>
      <c r="CZ161" s="93"/>
      <c r="DA161" s="93"/>
      <c r="DB161" s="93"/>
      <c r="DC161" s="93"/>
      <c r="DD161" s="93"/>
      <c r="DE161" s="93"/>
      <c r="DF161" s="93"/>
      <c r="DG161" s="93"/>
      <c r="DH161" s="93"/>
      <c r="DI161" s="93"/>
      <c r="DJ161" s="93"/>
      <c r="DK161" s="93"/>
      <c r="DL161" s="93"/>
      <c r="DM161" s="93"/>
      <c r="DN161" s="93"/>
      <c r="DO161" s="93"/>
      <c r="DP161" s="93"/>
      <c r="DQ161" s="93"/>
      <c r="DR161" s="93"/>
      <c r="DS161" s="93"/>
      <c r="DT161" s="93"/>
      <c r="DU161" s="93"/>
      <c r="DV161" s="93"/>
      <c r="DW161" s="93"/>
      <c r="DX161" s="93"/>
      <c r="DY161" s="93"/>
      <c r="DZ161" s="93"/>
      <c r="EA161" s="93"/>
      <c r="EB161" s="93"/>
      <c r="EC161" s="93"/>
      <c r="ED161" s="93"/>
      <c r="EE161" s="93"/>
      <c r="EF161" s="93"/>
      <c r="EG161" s="93"/>
      <c r="EH161" s="93"/>
      <c r="EI161" s="93"/>
      <c r="EJ161" s="93"/>
      <c r="EK161" s="93"/>
      <c r="EL161" s="93"/>
      <c r="EM161" s="93"/>
      <c r="EN161" s="93"/>
      <c r="EO161" s="93"/>
      <c r="EP161" s="93"/>
      <c r="EQ161" s="93"/>
      <c r="ER161" s="93"/>
      <c r="ES161" s="93"/>
      <c r="ET161" s="93"/>
      <c r="EU161" s="93"/>
      <c r="EV161" s="93"/>
      <c r="EW161" s="93"/>
      <c r="EX161" s="93"/>
      <c r="EY161" s="93"/>
      <c r="EZ161" s="93"/>
      <c r="FA161" s="93"/>
      <c r="FB161" s="93"/>
      <c r="FC161" s="93"/>
      <c r="FD161" s="93"/>
    </row>
    <row r="162" spans="1:160" ht="4.5" customHeight="1">
      <c r="A162" s="93"/>
      <c r="B162" s="93"/>
      <c r="C162" s="94" t="s">
        <v>131</v>
      </c>
      <c r="D162" s="94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3"/>
      <c r="T162" s="93"/>
      <c r="U162" s="95" t="s">
        <v>137</v>
      </c>
      <c r="V162" s="95"/>
      <c r="W162" s="95"/>
      <c r="X162" s="95"/>
      <c r="Y162" s="95"/>
      <c r="Z162" s="95"/>
      <c r="AA162" s="95"/>
      <c r="AB162" s="95"/>
      <c r="AC162" s="95"/>
      <c r="AD162" s="95"/>
      <c r="AE162" s="95"/>
      <c r="AF162" s="95"/>
      <c r="AG162" s="93"/>
      <c r="AH162" s="95" t="s">
        <v>138</v>
      </c>
      <c r="AI162" s="95"/>
      <c r="AJ162" s="95"/>
      <c r="AK162" s="95"/>
      <c r="AL162" s="95"/>
      <c r="AM162" s="95"/>
      <c r="AN162" s="95"/>
      <c r="AO162" s="95"/>
      <c r="AP162" s="95"/>
      <c r="AQ162" s="95"/>
      <c r="AR162" s="95"/>
      <c r="AS162" s="95"/>
      <c r="AT162" s="93"/>
      <c r="AU162" s="95" t="s">
        <v>139</v>
      </c>
      <c r="AV162" s="95"/>
      <c r="AW162" s="95"/>
      <c r="AX162" s="95"/>
      <c r="AY162" s="95"/>
      <c r="AZ162" s="95"/>
      <c r="BA162" s="95"/>
      <c r="BB162" s="95"/>
      <c r="BC162" s="95"/>
      <c r="BD162" s="95"/>
      <c r="BE162" s="93"/>
      <c r="BF162" s="93"/>
      <c r="BG162" s="93"/>
      <c r="BH162" s="93"/>
      <c r="BI162" s="93"/>
      <c r="BJ162" s="93"/>
      <c r="BK162" s="93"/>
      <c r="BL162" s="93"/>
      <c r="BM162" s="93"/>
      <c r="BN162" s="93"/>
      <c r="BO162" s="93"/>
      <c r="BP162" s="93"/>
      <c r="BQ162" s="93"/>
      <c r="BR162" s="93"/>
      <c r="BS162" s="93"/>
      <c r="BT162" s="93"/>
      <c r="BU162" s="93"/>
      <c r="BV162" s="93"/>
      <c r="BW162" s="93"/>
      <c r="BX162" s="93"/>
      <c r="BY162" s="93"/>
      <c r="BZ162" s="93"/>
      <c r="CA162" s="93"/>
      <c r="CB162" s="93"/>
      <c r="CC162" s="93"/>
      <c r="CD162" s="93"/>
      <c r="CE162" s="93"/>
      <c r="CF162" s="93"/>
      <c r="CG162" s="93"/>
      <c r="CH162" s="93"/>
      <c r="CI162" s="93"/>
      <c r="CJ162" s="93"/>
      <c r="CK162" s="93"/>
      <c r="CL162" s="93"/>
      <c r="CM162" s="93"/>
      <c r="CN162" s="93"/>
      <c r="CO162" s="93"/>
      <c r="CP162" s="93"/>
      <c r="CQ162" s="93"/>
      <c r="CR162" s="93"/>
      <c r="CS162" s="93"/>
      <c r="CT162" s="93"/>
      <c r="CU162" s="93"/>
      <c r="CV162" s="93"/>
      <c r="CW162" s="93"/>
      <c r="CX162" s="93"/>
      <c r="CY162" s="93"/>
      <c r="CZ162" s="93"/>
      <c r="DA162" s="93"/>
      <c r="DB162" s="93"/>
      <c r="DC162" s="93"/>
      <c r="DD162" s="93"/>
      <c r="DE162" s="93"/>
      <c r="DF162" s="93"/>
      <c r="DG162" s="93"/>
      <c r="DH162" s="93"/>
      <c r="DI162" s="93"/>
      <c r="DJ162" s="93"/>
      <c r="DK162" s="93"/>
      <c r="DL162" s="93"/>
      <c r="DM162" s="93"/>
      <c r="DN162" s="93"/>
      <c r="DO162" s="93"/>
      <c r="DP162" s="93"/>
      <c r="DQ162" s="93"/>
      <c r="DR162" s="93"/>
      <c r="DS162" s="93"/>
      <c r="DT162" s="93"/>
      <c r="DU162" s="93"/>
      <c r="DV162" s="93"/>
      <c r="DW162" s="93"/>
      <c r="DX162" s="93"/>
      <c r="DY162" s="93"/>
      <c r="DZ162" s="93"/>
      <c r="EA162" s="93"/>
      <c r="EB162" s="93"/>
      <c r="EC162" s="93"/>
      <c r="ED162" s="93"/>
      <c r="EE162" s="93"/>
      <c r="EF162" s="93"/>
      <c r="EG162" s="93"/>
      <c r="EH162" s="93"/>
      <c r="EI162" s="93"/>
      <c r="EJ162" s="93"/>
      <c r="EK162" s="93"/>
      <c r="EL162" s="93"/>
      <c r="EM162" s="93"/>
      <c r="EN162" s="93"/>
      <c r="EO162" s="93"/>
      <c r="EP162" s="93"/>
      <c r="EQ162" s="93"/>
      <c r="ER162" s="93"/>
      <c r="ES162" s="93"/>
      <c r="ET162" s="93"/>
      <c r="EU162" s="93"/>
      <c r="EV162" s="93"/>
      <c r="EW162" s="93"/>
      <c r="EX162" s="93"/>
      <c r="EY162" s="93"/>
      <c r="EZ162" s="93"/>
      <c r="FA162" s="93"/>
      <c r="FB162" s="93"/>
      <c r="FC162" s="93"/>
      <c r="FD162" s="93"/>
    </row>
    <row r="163" spans="1:160">
      <c r="A163" s="93"/>
      <c r="B163" s="93"/>
      <c r="C163" s="94"/>
      <c r="D163" s="94"/>
      <c r="E163" s="94"/>
      <c r="F163" s="94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93"/>
      <c r="T163" s="93"/>
      <c r="U163" s="95"/>
      <c r="V163" s="95"/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  <c r="AG163" s="93"/>
      <c r="AH163" s="95"/>
      <c r="AI163" s="95"/>
      <c r="AJ163" s="95"/>
      <c r="AK163" s="95"/>
      <c r="AL163" s="95"/>
      <c r="AM163" s="95"/>
      <c r="AN163" s="95"/>
      <c r="AO163" s="95"/>
      <c r="AP163" s="95"/>
      <c r="AQ163" s="95"/>
      <c r="AR163" s="95"/>
      <c r="AS163" s="95"/>
      <c r="AT163" s="93"/>
      <c r="AU163" s="95"/>
      <c r="AV163" s="95"/>
      <c r="AW163" s="95"/>
      <c r="AX163" s="95"/>
      <c r="AY163" s="95"/>
      <c r="AZ163" s="95"/>
      <c r="BA163" s="95"/>
      <c r="BB163" s="95"/>
      <c r="BC163" s="95"/>
      <c r="BD163" s="95"/>
      <c r="BE163" s="93"/>
      <c r="BF163" s="93"/>
      <c r="BG163" s="93"/>
      <c r="BH163" s="93"/>
      <c r="BI163" s="93"/>
      <c r="BJ163" s="93"/>
      <c r="BK163" s="93"/>
      <c r="BL163" s="93"/>
      <c r="BM163" s="93"/>
      <c r="BN163" s="93"/>
      <c r="BO163" s="93"/>
      <c r="BP163" s="93"/>
      <c r="BQ163" s="93"/>
      <c r="BR163" s="93"/>
      <c r="BS163" s="93"/>
      <c r="BT163" s="93"/>
      <c r="BU163" s="93"/>
      <c r="BV163" s="93"/>
      <c r="BW163" s="93"/>
      <c r="BX163" s="93"/>
      <c r="BY163" s="93"/>
      <c r="BZ163" s="93"/>
      <c r="CA163" s="93"/>
      <c r="CB163" s="93"/>
      <c r="CC163" s="93"/>
      <c r="CD163" s="93"/>
      <c r="CE163" s="93"/>
      <c r="CF163" s="93"/>
      <c r="CG163" s="93"/>
      <c r="CH163" s="93"/>
      <c r="CI163" s="93"/>
      <c r="CJ163" s="93"/>
      <c r="CK163" s="93"/>
      <c r="CL163" s="93"/>
      <c r="CM163" s="93"/>
      <c r="CN163" s="93"/>
      <c r="CO163" s="93"/>
      <c r="CP163" s="93"/>
      <c r="CQ163" s="93"/>
      <c r="CR163" s="93"/>
      <c r="CS163" s="93"/>
      <c r="CT163" s="93"/>
      <c r="CU163" s="93"/>
      <c r="CV163" s="93"/>
      <c r="CW163" s="93"/>
      <c r="CX163" s="93"/>
      <c r="CY163" s="93"/>
      <c r="CZ163" s="93"/>
      <c r="DA163" s="93"/>
      <c r="DB163" s="93"/>
      <c r="DC163" s="93"/>
      <c r="DD163" s="93"/>
      <c r="DE163" s="93"/>
      <c r="DF163" s="93"/>
      <c r="DG163" s="93"/>
      <c r="DH163" s="93"/>
      <c r="DI163" s="93"/>
      <c r="DJ163" s="93"/>
      <c r="DK163" s="93"/>
      <c r="DL163" s="93"/>
      <c r="DM163" s="93"/>
      <c r="DN163" s="93"/>
      <c r="DO163" s="93"/>
      <c r="DP163" s="93"/>
      <c r="DQ163" s="93"/>
      <c r="DR163" s="93"/>
      <c r="DS163" s="93"/>
      <c r="DT163" s="93"/>
      <c r="DU163" s="93"/>
      <c r="DV163" s="93"/>
      <c r="DW163" s="93"/>
      <c r="DX163" s="93"/>
      <c r="DY163" s="93"/>
      <c r="DZ163" s="93"/>
      <c r="EA163" s="93"/>
      <c r="EB163" s="93"/>
      <c r="EC163" s="93"/>
      <c r="ED163" s="93"/>
      <c r="EE163" s="93"/>
      <c r="EF163" s="93"/>
      <c r="EG163" s="93"/>
      <c r="EH163" s="93"/>
      <c r="EI163" s="93"/>
      <c r="EJ163" s="93"/>
      <c r="EK163" s="93"/>
      <c r="EL163" s="93"/>
      <c r="EM163" s="93"/>
      <c r="EN163" s="93"/>
      <c r="EO163" s="93"/>
      <c r="EP163" s="93"/>
      <c r="EQ163" s="93"/>
      <c r="ER163" s="93"/>
      <c r="ES163" s="93"/>
      <c r="ET163" s="93"/>
      <c r="EU163" s="93"/>
      <c r="EV163" s="93"/>
      <c r="EW163" s="93"/>
      <c r="EX163" s="93"/>
      <c r="EY163" s="93"/>
      <c r="EZ163" s="93"/>
      <c r="FA163" s="93"/>
      <c r="FB163" s="93"/>
      <c r="FC163" s="93"/>
      <c r="FD163" s="93"/>
    </row>
    <row r="164" spans="1:160" ht="4.5" customHeight="1">
      <c r="A164" s="93"/>
      <c r="B164" s="93"/>
      <c r="C164" s="94"/>
      <c r="D164" s="94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3"/>
      <c r="T164" s="93"/>
      <c r="U164" s="95"/>
      <c r="V164" s="95"/>
      <c r="W164" s="95"/>
      <c r="X164" s="95"/>
      <c r="Y164" s="95"/>
      <c r="Z164" s="95"/>
      <c r="AA164" s="95"/>
      <c r="AB164" s="95"/>
      <c r="AC164" s="95"/>
      <c r="AD164" s="95"/>
      <c r="AE164" s="95"/>
      <c r="AF164" s="95"/>
      <c r="AG164" s="93"/>
      <c r="AH164" s="95"/>
      <c r="AI164" s="95"/>
      <c r="AJ164" s="95"/>
      <c r="AK164" s="95"/>
      <c r="AL164" s="95"/>
      <c r="AM164" s="95"/>
      <c r="AN164" s="95"/>
      <c r="AO164" s="95"/>
      <c r="AP164" s="95"/>
      <c r="AQ164" s="95"/>
      <c r="AR164" s="95"/>
      <c r="AS164" s="95"/>
      <c r="AT164" s="93"/>
      <c r="AU164" s="95"/>
      <c r="AV164" s="95"/>
      <c r="AW164" s="95"/>
      <c r="AX164" s="95"/>
      <c r="AY164" s="95"/>
      <c r="AZ164" s="95"/>
      <c r="BA164" s="95"/>
      <c r="BB164" s="95"/>
      <c r="BC164" s="95"/>
      <c r="BD164" s="95"/>
      <c r="BE164" s="93"/>
      <c r="BF164" s="93"/>
      <c r="BG164" s="93"/>
      <c r="BH164" s="93"/>
      <c r="BI164" s="93"/>
      <c r="BJ164" s="93"/>
      <c r="BK164" s="93"/>
      <c r="BL164" s="93"/>
      <c r="BM164" s="93"/>
      <c r="BN164" s="93"/>
      <c r="BO164" s="93"/>
      <c r="BP164" s="93"/>
      <c r="BQ164" s="93"/>
      <c r="BR164" s="93"/>
      <c r="BS164" s="93"/>
      <c r="BT164" s="93"/>
      <c r="BU164" s="93"/>
      <c r="BV164" s="93"/>
      <c r="BW164" s="93"/>
      <c r="BX164" s="93"/>
      <c r="BY164" s="93"/>
      <c r="BZ164" s="93"/>
      <c r="CA164" s="93"/>
      <c r="CB164" s="93"/>
      <c r="CC164" s="93"/>
      <c r="CD164" s="93"/>
      <c r="CE164" s="93"/>
      <c r="CF164" s="93"/>
      <c r="CG164" s="93"/>
      <c r="CH164" s="93"/>
      <c r="CI164" s="93"/>
      <c r="CJ164" s="93"/>
      <c r="CK164" s="93"/>
      <c r="CL164" s="93"/>
      <c r="CM164" s="93"/>
      <c r="CN164" s="93"/>
      <c r="CO164" s="93"/>
      <c r="CP164" s="93"/>
      <c r="CQ164" s="93"/>
      <c r="CR164" s="93"/>
      <c r="CS164" s="93"/>
      <c r="CT164" s="93"/>
      <c r="CU164" s="93"/>
      <c r="CV164" s="93"/>
      <c r="CW164" s="93"/>
      <c r="CX164" s="93"/>
      <c r="CY164" s="93"/>
      <c r="CZ164" s="93"/>
      <c r="DA164" s="93"/>
      <c r="DB164" s="93"/>
      <c r="DC164" s="93"/>
      <c r="DD164" s="93"/>
      <c r="DE164" s="93"/>
      <c r="DF164" s="93"/>
      <c r="DG164" s="93"/>
      <c r="DH164" s="93"/>
      <c r="DI164" s="93"/>
      <c r="DJ164" s="93"/>
      <c r="DK164" s="93"/>
      <c r="DL164" s="93"/>
      <c r="DM164" s="93"/>
      <c r="DN164" s="93"/>
      <c r="DO164" s="93"/>
      <c r="DP164" s="93"/>
      <c r="DQ164" s="93"/>
      <c r="DR164" s="93"/>
      <c r="DS164" s="93"/>
      <c r="DT164" s="93"/>
      <c r="DU164" s="93"/>
      <c r="DV164" s="93"/>
      <c r="DW164" s="93"/>
      <c r="DX164" s="93"/>
      <c r="DY164" s="93"/>
      <c r="DZ164" s="93"/>
      <c r="EA164" s="93"/>
      <c r="EB164" s="93"/>
      <c r="EC164" s="93"/>
      <c r="ED164" s="93"/>
      <c r="EE164" s="93"/>
      <c r="EF164" s="93"/>
      <c r="EG164" s="93"/>
      <c r="EH164" s="93"/>
      <c r="EI164" s="93"/>
      <c r="EJ164" s="93"/>
      <c r="EK164" s="93"/>
      <c r="EL164" s="93"/>
      <c r="EM164" s="93"/>
      <c r="EN164" s="93"/>
      <c r="EO164" s="93"/>
      <c r="EP164" s="93"/>
      <c r="EQ164" s="93"/>
      <c r="ER164" s="93"/>
      <c r="ES164" s="93"/>
      <c r="ET164" s="93"/>
      <c r="EU164" s="93"/>
      <c r="EV164" s="93"/>
      <c r="EW164" s="93"/>
      <c r="EX164" s="93"/>
      <c r="EY164" s="93"/>
      <c r="EZ164" s="93"/>
      <c r="FA164" s="93"/>
      <c r="FB164" s="93"/>
      <c r="FC164" s="93"/>
      <c r="FD164" s="93"/>
    </row>
    <row r="165" spans="1:160" ht="4.5" customHeight="1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  <c r="AS165" s="93"/>
      <c r="AT165" s="93"/>
      <c r="AU165" s="93"/>
      <c r="AV165" s="93"/>
      <c r="AW165" s="93"/>
      <c r="AX165" s="93"/>
      <c r="AY165" s="93"/>
      <c r="AZ165" s="93"/>
      <c r="BA165" s="93"/>
      <c r="BB165" s="93"/>
      <c r="BC165" s="93"/>
      <c r="BD165" s="93"/>
      <c r="BE165" s="93"/>
      <c r="BF165" s="93"/>
      <c r="BG165" s="93"/>
      <c r="BH165" s="93"/>
      <c r="BI165" s="93"/>
      <c r="BJ165" s="93"/>
      <c r="BK165" s="93"/>
      <c r="BL165" s="93"/>
      <c r="BM165" s="93"/>
      <c r="BN165" s="93"/>
      <c r="BO165" s="93"/>
      <c r="BP165" s="93"/>
      <c r="BQ165" s="93"/>
      <c r="BR165" s="93"/>
      <c r="BS165" s="93"/>
      <c r="BT165" s="93"/>
      <c r="BU165" s="93"/>
      <c r="BV165" s="93"/>
      <c r="BW165" s="93"/>
      <c r="BX165" s="93"/>
      <c r="BY165" s="93"/>
      <c r="BZ165" s="93"/>
      <c r="CA165" s="93"/>
      <c r="CB165" s="93"/>
      <c r="CC165" s="93"/>
      <c r="CD165" s="93"/>
      <c r="CE165" s="93"/>
      <c r="CF165" s="93"/>
      <c r="CG165" s="93"/>
      <c r="CH165" s="93"/>
      <c r="CI165" s="93"/>
      <c r="CJ165" s="93"/>
      <c r="CK165" s="93"/>
      <c r="CL165" s="93"/>
      <c r="CM165" s="93"/>
      <c r="CN165" s="93"/>
      <c r="CO165" s="93"/>
      <c r="CP165" s="93"/>
      <c r="CQ165" s="93"/>
      <c r="CR165" s="93"/>
      <c r="CS165" s="93"/>
      <c r="CT165" s="93"/>
      <c r="CU165" s="93"/>
      <c r="CV165" s="93"/>
      <c r="CW165" s="93"/>
      <c r="CX165" s="93"/>
      <c r="CY165" s="93"/>
      <c r="CZ165" s="93"/>
      <c r="DA165" s="93"/>
      <c r="DB165" s="93"/>
      <c r="DC165" s="93"/>
      <c r="DD165" s="93"/>
      <c r="DE165" s="93"/>
      <c r="DF165" s="93"/>
      <c r="DG165" s="93"/>
      <c r="DH165" s="93"/>
      <c r="DI165" s="93"/>
      <c r="DJ165" s="93"/>
      <c r="DK165" s="93"/>
      <c r="DL165" s="93"/>
      <c r="DM165" s="93"/>
      <c r="DN165" s="93"/>
      <c r="DO165" s="93"/>
      <c r="DP165" s="93"/>
      <c r="DQ165" s="93"/>
      <c r="DR165" s="93"/>
      <c r="DS165" s="93"/>
      <c r="DT165" s="93"/>
      <c r="DU165" s="93"/>
      <c r="DV165" s="93"/>
      <c r="DW165" s="93"/>
      <c r="DX165" s="93"/>
      <c r="DY165" s="93"/>
      <c r="DZ165" s="93"/>
      <c r="EA165" s="93"/>
      <c r="EB165" s="93"/>
      <c r="EC165" s="93"/>
      <c r="ED165" s="93"/>
      <c r="EE165" s="93"/>
      <c r="EF165" s="93"/>
      <c r="EG165" s="93"/>
      <c r="EH165" s="93"/>
      <c r="EI165" s="93"/>
      <c r="EJ165" s="93"/>
      <c r="EK165" s="93"/>
      <c r="EL165" s="93"/>
      <c r="EM165" s="93"/>
      <c r="EN165" s="93"/>
      <c r="EO165" s="93"/>
      <c r="EP165" s="93"/>
      <c r="EQ165" s="93"/>
      <c r="ER165" s="93"/>
      <c r="ES165" s="93"/>
      <c r="ET165" s="93"/>
      <c r="EU165" s="93"/>
      <c r="EV165" s="93"/>
      <c r="EW165" s="93"/>
      <c r="EX165" s="93"/>
      <c r="EY165" s="93"/>
      <c r="EZ165" s="93"/>
      <c r="FA165" s="93"/>
      <c r="FB165" s="93"/>
      <c r="FC165" s="93"/>
      <c r="FD165" s="93"/>
    </row>
  </sheetData>
  <sheetProtection sheet="1" objects="1" scenarios="1"/>
  <mergeCells count="243">
    <mergeCell ref="J2:BU11"/>
    <mergeCell ref="J12:BU15"/>
    <mergeCell ref="BX3:CX7"/>
    <mergeCell ref="BX9:CV13"/>
    <mergeCell ref="CW9:CX13"/>
    <mergeCell ref="DI6:DW9"/>
    <mergeCell ref="DI10:DW13"/>
    <mergeCell ref="G18:P23"/>
    <mergeCell ref="G25:P31"/>
    <mergeCell ref="G35:P41"/>
    <mergeCell ref="G44:P49"/>
    <mergeCell ref="F55:N62"/>
    <mergeCell ref="D64:L66"/>
    <mergeCell ref="M64:M66"/>
    <mergeCell ref="D69:G70"/>
    <mergeCell ref="I69:J70"/>
    <mergeCell ref="L69:M70"/>
    <mergeCell ref="D73:G74"/>
    <mergeCell ref="I73:J74"/>
    <mergeCell ref="L73:M74"/>
    <mergeCell ref="F79:N82"/>
    <mergeCell ref="D84:M86"/>
    <mergeCell ref="D88:M90"/>
    <mergeCell ref="D92:M95"/>
    <mergeCell ref="D97:M102"/>
    <mergeCell ref="D104:M108"/>
    <mergeCell ref="F113:N117"/>
    <mergeCell ref="D119:L122"/>
    <mergeCell ref="M119:M122"/>
    <mergeCell ref="D124:M126"/>
    <mergeCell ref="D129:M129"/>
    <mergeCell ref="D131:M132"/>
    <mergeCell ref="D134:M137"/>
    <mergeCell ref="D139:M141"/>
    <mergeCell ref="E147:N150"/>
    <mergeCell ref="D151:N157"/>
    <mergeCell ref="C162:R164"/>
    <mergeCell ref="U162:AF164"/>
    <mergeCell ref="AH162:AS164"/>
    <mergeCell ref="AU162:BD164"/>
    <mergeCell ref="AC21:AK21"/>
    <mergeCell ref="AC22:AK28"/>
    <mergeCell ref="AC30:AD34"/>
    <mergeCell ref="AE30:AK34"/>
    <mergeCell ref="AE35:AK37"/>
    <mergeCell ref="AX21:BH21"/>
    <mergeCell ref="AX22:BH28"/>
    <mergeCell ref="AX30:AY34"/>
    <mergeCell ref="AZ30:BH34"/>
    <mergeCell ref="AZ35:BH37"/>
    <mergeCell ref="BR21:CD21"/>
    <mergeCell ref="BR22:CD28"/>
    <mergeCell ref="BR30:BS34"/>
    <mergeCell ref="BT30:CD34"/>
    <mergeCell ref="BT35:CD37"/>
    <mergeCell ref="CO21:DC21"/>
    <mergeCell ref="CO22:DC28"/>
    <mergeCell ref="CO30:CP34"/>
    <mergeCell ref="CQ30:DC34"/>
    <mergeCell ref="CQ35:DC37"/>
    <mergeCell ref="DM21:EA21"/>
    <mergeCell ref="DM22:EA28"/>
    <mergeCell ref="DM30:DM34"/>
    <mergeCell ref="DN30:EA34"/>
    <mergeCell ref="DN35:EA37"/>
    <mergeCell ref="AB43:AM46"/>
    <mergeCell ref="AB47:AM52"/>
    <mergeCell ref="AW43:BK46"/>
    <mergeCell ref="AW47:BK52"/>
    <mergeCell ref="BQ43:CE46"/>
    <mergeCell ref="BQ47:CE52"/>
    <mergeCell ref="CN43:DD46"/>
    <mergeCell ref="CN47:DD52"/>
    <mergeCell ref="DL43:EA46"/>
    <mergeCell ref="DL47:EA52"/>
    <mergeCell ref="EI19:FA21"/>
    <mergeCell ref="EI34:EJ36"/>
    <mergeCell ref="EI37:EJ40"/>
    <mergeCell ref="EQ26:ES27"/>
    <mergeCell ref="ET26:FB27"/>
    <mergeCell ref="ET28:FB32"/>
    <mergeCell ref="EQ35:ES37"/>
    <mergeCell ref="ET35:FB37"/>
    <mergeCell ref="ET38:FB41"/>
    <mergeCell ref="EQ43:ES45"/>
    <mergeCell ref="ET43:FB45"/>
    <mergeCell ref="ET46:FB48"/>
    <mergeCell ref="AA60:BA66"/>
    <mergeCell ref="BK60:CO66"/>
    <mergeCell ref="CV60:DZ66"/>
    <mergeCell ref="AA100:BA106"/>
    <mergeCell ref="BK100:CO106"/>
    <mergeCell ref="CV100:DZ106"/>
    <mergeCell ref="EH59:EM65"/>
    <mergeCell ref="EO61:EV64"/>
    <mergeCell ref="EW61:EZ64"/>
    <mergeCell ref="EF68:EX69"/>
    <mergeCell ref="EF72:EX73"/>
    <mergeCell ref="EF76:EX79"/>
    <mergeCell ref="EF82:EX84"/>
    <mergeCell ref="EF86:EX88"/>
    <mergeCell ref="EF90:EX92"/>
    <mergeCell ref="EH99:EK105"/>
    <mergeCell ref="EM101:EV104"/>
    <mergeCell ref="EW101:EZ104"/>
    <mergeCell ref="EG108:EO113"/>
    <mergeCell ref="EP108:ER113"/>
    <mergeCell ref="ET110:ET112"/>
    <mergeCell ref="EV108:EW113"/>
    <mergeCell ref="EG116:EO120"/>
    <mergeCell ref="EP116:ER120"/>
    <mergeCell ref="ET117:ET119"/>
    <mergeCell ref="EV116:EW120"/>
    <mergeCell ref="EG122:EO125"/>
    <mergeCell ref="EP122:ER125"/>
    <mergeCell ref="ET123:ET124"/>
    <mergeCell ref="EV122:EW125"/>
    <mergeCell ref="EG128:EO130"/>
    <mergeCell ref="EP128:ER130"/>
    <mergeCell ref="ET128:EW130"/>
    <mergeCell ref="EF132:EX135"/>
    <mergeCell ref="Y140:BZ142"/>
    <mergeCell ref="Y144:AC148"/>
    <mergeCell ref="AD144:AI148"/>
    <mergeCell ref="AJ144:AO148"/>
    <mergeCell ref="AP144:AX148"/>
    <mergeCell ref="AY144:AZ148"/>
    <mergeCell ref="BA144:BI148"/>
    <mergeCell ref="BJ144:BR148"/>
    <mergeCell ref="BS144:BT148"/>
    <mergeCell ref="BU144:BZ148"/>
    <mergeCell ref="Y150:AC151"/>
    <mergeCell ref="AD150:AI151"/>
    <mergeCell ref="AJ150:AO151"/>
    <mergeCell ref="AP150:AX151"/>
    <mergeCell ref="AY150:AZ151"/>
    <mergeCell ref="BA150:BI151"/>
    <mergeCell ref="BJ150:BR151"/>
    <mergeCell ref="BS150:BT151"/>
    <mergeCell ref="BU150:BZ151"/>
    <mergeCell ref="Y152:AC152"/>
    <mergeCell ref="AD152:AI152"/>
    <mergeCell ref="AJ152:AO152"/>
    <mergeCell ref="AP152:AX152"/>
    <mergeCell ref="AY152:AZ152"/>
    <mergeCell ref="BA152:BI152"/>
    <mergeCell ref="BJ152:BR152"/>
    <mergeCell ref="BS152:BT152"/>
    <mergeCell ref="BU152:BZ152"/>
    <mergeCell ref="Y153:AC153"/>
    <mergeCell ref="AD153:AI153"/>
    <mergeCell ref="AJ153:AO153"/>
    <mergeCell ref="AP153:AX153"/>
    <mergeCell ref="AY153:AZ153"/>
    <mergeCell ref="BA153:BI153"/>
    <mergeCell ref="BJ153:BR153"/>
    <mergeCell ref="BS153:BT153"/>
    <mergeCell ref="BU153:BZ153"/>
    <mergeCell ref="Y154:AC154"/>
    <mergeCell ref="AD154:AI154"/>
    <mergeCell ref="AJ154:AO154"/>
    <mergeCell ref="AP154:AX154"/>
    <mergeCell ref="AY154:AZ154"/>
    <mergeCell ref="BA154:BI154"/>
    <mergeCell ref="BJ154:BR154"/>
    <mergeCell ref="BS154:BT154"/>
    <mergeCell ref="BU154:BZ154"/>
    <mergeCell ref="Y155:AC155"/>
    <mergeCell ref="AD155:AI155"/>
    <mergeCell ref="AJ155:AO155"/>
    <mergeCell ref="AP155:AX155"/>
    <mergeCell ref="AY155:AZ155"/>
    <mergeCell ref="BA155:BI155"/>
    <mergeCell ref="BJ155:BR155"/>
    <mergeCell ref="BS155:BT155"/>
    <mergeCell ref="BU155:BZ155"/>
    <mergeCell ref="Y156:AC157"/>
    <mergeCell ref="AD156:AI157"/>
    <mergeCell ref="AJ156:AO157"/>
    <mergeCell ref="AP156:AX157"/>
    <mergeCell ref="AY156:AZ157"/>
    <mergeCell ref="BA156:BI157"/>
    <mergeCell ref="BJ156:BR157"/>
    <mergeCell ref="BS156:BT157"/>
    <mergeCell ref="BU156:BZ157"/>
    <mergeCell ref="CJ140:DO142"/>
    <mergeCell ref="CJ144:CT148"/>
    <mergeCell ref="CU144:CY148"/>
    <mergeCell ref="CZ144:DJ148"/>
    <mergeCell ref="DK144:DO148"/>
    <mergeCell ref="CJ150:CT151"/>
    <mergeCell ref="CU150:CY151"/>
    <mergeCell ref="CZ150:DJ151"/>
    <mergeCell ref="DK150:DO151"/>
    <mergeCell ref="CJ152:CT152"/>
    <mergeCell ref="CU152:CY152"/>
    <mergeCell ref="CZ152:DJ152"/>
    <mergeCell ref="DK152:DO152"/>
    <mergeCell ref="CJ153:CT153"/>
    <mergeCell ref="CU153:CY153"/>
    <mergeCell ref="CZ153:DJ153"/>
    <mergeCell ref="DK153:DO153"/>
    <mergeCell ref="CJ154:CT154"/>
    <mergeCell ref="CU154:CY154"/>
    <mergeCell ref="CZ154:DJ154"/>
    <mergeCell ref="DK154:DO154"/>
    <mergeCell ref="CJ155:CT155"/>
    <mergeCell ref="CU155:CY155"/>
    <mergeCell ref="CZ155:DJ155"/>
    <mergeCell ref="DK155:DO155"/>
    <mergeCell ref="CJ156:CT157"/>
    <mergeCell ref="CU156:CY157"/>
    <mergeCell ref="CZ156:DJ157"/>
    <mergeCell ref="DK156:DO157"/>
    <mergeCell ref="DU140:EX142"/>
    <mergeCell ref="DU144:DY148"/>
    <mergeCell ref="DZ144:EI148"/>
    <mergeCell ref="EJ144:EQ148"/>
    <mergeCell ref="ER144:EX148"/>
    <mergeCell ref="DU150:DY151"/>
    <mergeCell ref="DZ150:EI151"/>
    <mergeCell ref="EJ150:EQ151"/>
    <mergeCell ref="ER150:EX151"/>
    <mergeCell ref="DU152:DY152"/>
    <mergeCell ref="DZ152:EI152"/>
    <mergeCell ref="EJ152:EQ152"/>
    <mergeCell ref="ER152:EX152"/>
    <mergeCell ref="DU153:DY153"/>
    <mergeCell ref="DZ153:EI153"/>
    <mergeCell ref="EJ153:EQ153"/>
    <mergeCell ref="ER153:EX153"/>
    <mergeCell ref="DU154:DY154"/>
    <mergeCell ref="DZ154:EI154"/>
    <mergeCell ref="EJ154:EQ154"/>
    <mergeCell ref="ER154:EX154"/>
    <mergeCell ref="DU155:DY155"/>
    <mergeCell ref="DZ155:EI155"/>
    <mergeCell ref="EJ155:EQ155"/>
    <mergeCell ref="ER155:EX155"/>
    <mergeCell ref="DU156:DY157"/>
    <mergeCell ref="DZ156:EI157"/>
    <mergeCell ref="EJ156:EQ157"/>
    <mergeCell ref="ER156:EX157"/>
  </mergeCells>
  <conditionalFormatting sqref="AC30:AD34">
    <cfRule type="expression" dxfId="24" priority="49">
      <formula>AND(ISNUMBER($AE$30),$AE$30&gt;0)</formula>
    </cfRule>
    <cfRule type="expression" dxfId="25" priority="50">
      <formula>AND(ISNUMBER($AE$30),$AE$30&lt;0)</formula>
    </cfRule>
  </conditionalFormatting>
  <conditionalFormatting sqref="AD150:AI151">
    <cfRule type="expression" dxfId="29" priority="78">
      <formula>$BS$150=0</formula>
    </cfRule>
  </conditionalFormatting>
  <conditionalFormatting sqref="AD152:AI152">
    <cfRule type="expression" dxfId="29" priority="88">
      <formula>$BS$152=0</formula>
    </cfRule>
  </conditionalFormatting>
  <conditionalFormatting sqref="AD153:AI153">
    <cfRule type="expression" dxfId="29" priority="98">
      <formula>$BS$153=0</formula>
    </cfRule>
  </conditionalFormatting>
  <conditionalFormatting sqref="AD154:AI154">
    <cfRule type="expression" dxfId="29" priority="108">
      <formula>$BS$154=0</formula>
    </cfRule>
  </conditionalFormatting>
  <conditionalFormatting sqref="AD155:AI155">
    <cfRule type="expression" dxfId="29" priority="118">
      <formula>$BS$155=0</formula>
    </cfRule>
  </conditionalFormatting>
  <conditionalFormatting sqref="AJ150:AO151">
    <cfRule type="expression" dxfId="29" priority="79">
      <formula>$BS$150=0</formula>
    </cfRule>
  </conditionalFormatting>
  <conditionalFormatting sqref="AJ152:AO152">
    <cfRule type="expression" dxfId="29" priority="89">
      <formula>$BS$152=0</formula>
    </cfRule>
  </conditionalFormatting>
  <conditionalFormatting sqref="AJ153:AO153">
    <cfRule type="expression" dxfId="29" priority="99">
      <formula>$BS$153=0</formula>
    </cfRule>
  </conditionalFormatting>
  <conditionalFormatting sqref="AJ154:AO154">
    <cfRule type="expression" dxfId="29" priority="109">
      <formula>$BS$154=0</formula>
    </cfRule>
  </conditionalFormatting>
  <conditionalFormatting sqref="AJ155:AO155">
    <cfRule type="expression" dxfId="29" priority="119">
      <formula>$BS$155=0</formula>
    </cfRule>
  </conditionalFormatting>
  <conditionalFormatting sqref="AP150:AX151">
    <cfRule type="expression" dxfId="29" priority="80">
      <formula>$BS$150=0</formula>
    </cfRule>
  </conditionalFormatting>
  <conditionalFormatting sqref="AP152:AX152">
    <cfRule type="expression" dxfId="29" priority="90">
      <formula>$BS$152=0</formula>
    </cfRule>
  </conditionalFormatting>
  <conditionalFormatting sqref="AP153:AX153">
    <cfRule type="expression" dxfId="29" priority="100">
      <formula>$BS$153=0</formula>
    </cfRule>
  </conditionalFormatting>
  <conditionalFormatting sqref="AP154:AX154">
    <cfRule type="expression" dxfId="29" priority="110">
      <formula>$BS$154=0</formula>
    </cfRule>
  </conditionalFormatting>
  <conditionalFormatting sqref="AP155:AX155">
    <cfRule type="expression" dxfId="29" priority="120">
      <formula>$BS$155=0</formula>
    </cfRule>
  </conditionalFormatting>
  <conditionalFormatting sqref="AX30:AY34">
    <cfRule type="expression" dxfId="24" priority="51">
      <formula>AND(ISNUMBER($AZ$30),$AZ$30&gt;0)</formula>
    </cfRule>
    <cfRule type="expression" dxfId="25" priority="52">
      <formula>AND(ISNUMBER($AZ$30),$AZ$30&lt;0)</formula>
    </cfRule>
  </conditionalFormatting>
  <conditionalFormatting sqref="AY150:AZ151">
    <cfRule type="expression" dxfId="29" priority="81">
      <formula>$BS$150=0</formula>
    </cfRule>
  </conditionalFormatting>
  <conditionalFormatting sqref="AY152:AZ152">
    <cfRule type="expression" dxfId="29" priority="91">
      <formula>$BS$152=0</formula>
    </cfRule>
  </conditionalFormatting>
  <conditionalFormatting sqref="AY153:AZ153">
    <cfRule type="expression" dxfId="29" priority="101">
      <formula>$BS$153=0</formula>
    </cfRule>
  </conditionalFormatting>
  <conditionalFormatting sqref="AY154:AZ154">
    <cfRule type="expression" dxfId="29" priority="111">
      <formula>$BS$154=0</formula>
    </cfRule>
  </conditionalFormatting>
  <conditionalFormatting sqref="AY155:AZ155">
    <cfRule type="expression" dxfId="29" priority="121">
      <formula>$BS$155=0</formula>
    </cfRule>
  </conditionalFormatting>
  <conditionalFormatting sqref="BA150:BI151">
    <cfRule type="expression" dxfId="29" priority="82">
      <formula>$BS$150=0</formula>
    </cfRule>
  </conditionalFormatting>
  <conditionalFormatting sqref="BA152:BI152">
    <cfRule type="expression" dxfId="29" priority="92">
      <formula>$BS$152=0</formula>
    </cfRule>
  </conditionalFormatting>
  <conditionalFormatting sqref="BA153:BI153">
    <cfRule type="expression" dxfId="29" priority="102">
      <formula>$BS$153=0</formula>
    </cfRule>
  </conditionalFormatting>
  <conditionalFormatting sqref="BA154:BI154">
    <cfRule type="expression" dxfId="29" priority="112">
      <formula>$BS$154=0</formula>
    </cfRule>
  </conditionalFormatting>
  <conditionalFormatting sqref="BA155:BI155">
    <cfRule type="expression" dxfId="29" priority="122">
      <formula>$BS$155=0</formula>
    </cfRule>
  </conditionalFormatting>
  <conditionalFormatting sqref="BJ150:BR151">
    <cfRule type="expression" dxfId="29" priority="83">
      <formula>$BS$150=0</formula>
    </cfRule>
  </conditionalFormatting>
  <conditionalFormatting sqref="BJ152:BR152">
    <cfRule type="expression" dxfId="29" priority="93">
      <formula>$BS$152=0</formula>
    </cfRule>
  </conditionalFormatting>
  <conditionalFormatting sqref="BJ153:BR153">
    <cfRule type="expression" dxfId="29" priority="103">
      <formula>$BS$153=0</formula>
    </cfRule>
  </conditionalFormatting>
  <conditionalFormatting sqref="BJ154:BR154">
    <cfRule type="expression" dxfId="29" priority="113">
      <formula>$BS$154=0</formula>
    </cfRule>
  </conditionalFormatting>
  <conditionalFormatting sqref="BJ155:BR155">
    <cfRule type="expression" dxfId="29" priority="123">
      <formula>$BS$155=0</formula>
    </cfRule>
  </conditionalFormatting>
  <conditionalFormatting sqref="BR30:BS34">
    <cfRule type="expression" dxfId="24" priority="53">
      <formula>AND(ISNUMBER($BT$30),$BT$30&gt;0)</formula>
    </cfRule>
    <cfRule type="expression" dxfId="25" priority="54">
      <formula>AND(ISNUMBER($BT$30),$BT$30&lt;0)</formula>
    </cfRule>
  </conditionalFormatting>
  <conditionalFormatting sqref="BS150:BT151">
    <cfRule type="expression" dxfId="29" priority="84">
      <formula>$BS$150=0</formula>
    </cfRule>
  </conditionalFormatting>
  <conditionalFormatting sqref="BS152:BT152">
    <cfRule type="expression" dxfId="29" priority="94">
      <formula>$BS$152=0</formula>
    </cfRule>
  </conditionalFormatting>
  <conditionalFormatting sqref="BS153:BT153">
    <cfRule type="expression" dxfId="29" priority="104">
      <formula>$BS$153=0</formula>
    </cfRule>
  </conditionalFormatting>
  <conditionalFormatting sqref="BS154:BT154">
    <cfRule type="expression" dxfId="29" priority="114">
      <formula>$BS$154=0</formula>
    </cfRule>
  </conditionalFormatting>
  <conditionalFormatting sqref="BS155:BT155">
    <cfRule type="expression" dxfId="29" priority="124">
      <formula>$BS$155=0</formula>
    </cfRule>
  </conditionalFormatting>
  <conditionalFormatting sqref="BU150:BZ151">
    <cfRule type="expression" dxfId="29" priority="85">
      <formula>$BS$150=0</formula>
    </cfRule>
    <cfRule type="expression" dxfId="30" priority="86">
      <formula>$BU$150&gt;N_Util</formula>
    </cfRule>
  </conditionalFormatting>
  <conditionalFormatting sqref="BU150:BZ155">
    <cfRule type="colorScale" priority="183">
      <colorScale>
        <cfvo type="num" val="0"/>
        <cfvo type="num" val="1"/>
        <color rgb="FFE4F2DB"/>
        <color rgb="FF8CC37A"/>
      </colorScale>
    </cfRule>
  </conditionalFormatting>
  <conditionalFormatting sqref="BU152:BZ152">
    <cfRule type="expression" dxfId="29" priority="95">
      <formula>$BS$152=0</formula>
    </cfRule>
    <cfRule type="expression" dxfId="30" priority="96">
      <formula>$BU$152&gt;N_Util</formula>
    </cfRule>
  </conditionalFormatting>
  <conditionalFormatting sqref="BU153:BZ153">
    <cfRule type="expression" dxfId="29" priority="105">
      <formula>$BS$153=0</formula>
    </cfRule>
    <cfRule type="expression" dxfId="30" priority="106">
      <formula>$BU$153&gt;N_Util</formula>
    </cfRule>
  </conditionalFormatting>
  <conditionalFormatting sqref="BU154:BZ154">
    <cfRule type="expression" dxfId="29" priority="115">
      <formula>$BS$154=0</formula>
    </cfRule>
    <cfRule type="expression" dxfId="30" priority="116">
      <formula>$BU$154&gt;N_Util</formula>
    </cfRule>
  </conditionalFormatting>
  <conditionalFormatting sqref="BU155:BZ155">
    <cfRule type="expression" dxfId="29" priority="125">
      <formula>$BS$155=0</formula>
    </cfRule>
    <cfRule type="expression" dxfId="30" priority="126">
      <formula>$BU$155&gt;N_Util</formula>
    </cfRule>
  </conditionalFormatting>
  <conditionalFormatting sqref="CJ150:CT151">
    <cfRule type="expression" dxfId="29" priority="127">
      <formula>AND(N_Cat&lt;&gt;"Tutte",$CJ$150&lt;&gt;N_Cat)</formula>
    </cfRule>
  </conditionalFormatting>
  <conditionalFormatting sqref="CJ152:CT152">
    <cfRule type="expression" dxfId="29" priority="131">
      <formula>AND(N_Cat&lt;&gt;"Tutte",$CJ$152&lt;&gt;N_Cat)</formula>
    </cfRule>
  </conditionalFormatting>
  <conditionalFormatting sqref="CJ153:CT153">
    <cfRule type="expression" dxfId="29" priority="135">
      <formula>AND(N_Cat&lt;&gt;"Tutte",$CJ$153&lt;&gt;N_Cat)</formula>
    </cfRule>
  </conditionalFormatting>
  <conditionalFormatting sqref="CJ154:CT154">
    <cfRule type="expression" dxfId="29" priority="139">
      <formula>AND(N_Cat&lt;&gt;"Tutte",$CJ$154&lt;&gt;N_Cat)</formula>
    </cfRule>
  </conditionalFormatting>
  <conditionalFormatting sqref="CJ155:CT155">
    <cfRule type="expression" dxfId="29" priority="143">
      <formula>AND(N_Cat&lt;&gt;"Tutte",$CJ$155&lt;&gt;N_Cat)</formula>
    </cfRule>
  </conditionalFormatting>
  <conditionalFormatting sqref="CJ156:CT157">
    <cfRule type="expression" dxfId="29" priority="147">
      <formula>AND(N_Cat&lt;&gt;"Tutte",$CJ$156&lt;&gt;N_Cat)</formula>
    </cfRule>
  </conditionalFormatting>
  <conditionalFormatting sqref="CO30:CP34">
    <cfRule type="expression" dxfId="25" priority="55">
      <formula>AND(ISNUMBER($CQ$30),$CQ$30&gt;0)</formula>
    </cfRule>
    <cfRule type="expression" dxfId="24" priority="56">
      <formula>AND(ISNUMBER($CQ$30),$CQ$30&lt;0)</formula>
    </cfRule>
  </conditionalFormatting>
  <conditionalFormatting sqref="CU150:CY151">
    <cfRule type="expression" dxfId="29" priority="128">
      <formula>AND(N_Cat&lt;&gt;"Tutte",$CJ$150&lt;&gt;N_Cat)</formula>
    </cfRule>
  </conditionalFormatting>
  <conditionalFormatting sqref="CU152:CY152">
    <cfRule type="expression" dxfId="29" priority="132">
      <formula>AND(N_Cat&lt;&gt;"Tutte",$CJ$152&lt;&gt;N_Cat)</formula>
    </cfRule>
  </conditionalFormatting>
  <conditionalFormatting sqref="CU153:CY153">
    <cfRule type="expression" dxfId="29" priority="136">
      <formula>AND(N_Cat&lt;&gt;"Tutte",$CJ$153&lt;&gt;N_Cat)</formula>
    </cfRule>
  </conditionalFormatting>
  <conditionalFormatting sqref="CU154:CY154">
    <cfRule type="expression" dxfId="29" priority="140">
      <formula>AND(N_Cat&lt;&gt;"Tutte",$CJ$154&lt;&gt;N_Cat)</formula>
    </cfRule>
  </conditionalFormatting>
  <conditionalFormatting sqref="CU155:CY155">
    <cfRule type="expression" dxfId="29" priority="144">
      <formula>AND(N_Cat&lt;&gt;"Tutte",$CJ$155&lt;&gt;N_Cat)</formula>
    </cfRule>
  </conditionalFormatting>
  <conditionalFormatting sqref="CU156:CY157">
    <cfRule type="expression" dxfId="29" priority="148">
      <formula>AND(N_Cat&lt;&gt;"Tutte",$CJ$156&lt;&gt;N_Cat)</formula>
    </cfRule>
  </conditionalFormatting>
  <conditionalFormatting sqref="CZ150:DJ151">
    <cfRule type="expression" dxfId="29" priority="129">
      <formula>AND(N_Cat&lt;&gt;"Tutte",$CJ$150&lt;&gt;N_Cat)</formula>
    </cfRule>
  </conditionalFormatting>
  <conditionalFormatting sqref="CZ152:DJ152">
    <cfRule type="expression" dxfId="29" priority="133">
      <formula>AND(N_Cat&lt;&gt;"Tutte",$CJ$152&lt;&gt;N_Cat)</formula>
    </cfRule>
  </conditionalFormatting>
  <conditionalFormatting sqref="CZ153:DJ153">
    <cfRule type="expression" dxfId="29" priority="137">
      <formula>AND(N_Cat&lt;&gt;"Tutte",$CJ$153&lt;&gt;N_Cat)</formula>
    </cfRule>
  </conditionalFormatting>
  <conditionalFormatting sqref="CZ154:DJ154">
    <cfRule type="expression" dxfId="29" priority="141">
      <formula>AND(N_Cat&lt;&gt;"Tutte",$CJ$154&lt;&gt;N_Cat)</formula>
    </cfRule>
  </conditionalFormatting>
  <conditionalFormatting sqref="CZ155:DJ155">
    <cfRule type="expression" dxfId="29" priority="145">
      <formula>AND(N_Cat&lt;&gt;"Tutte",$CJ$155&lt;&gt;N_Cat)</formula>
    </cfRule>
  </conditionalFormatting>
  <conditionalFormatting sqref="CZ156:DJ157">
    <cfRule type="expression" dxfId="29" priority="149">
      <formula>AND(N_Cat&lt;&gt;"Tutte",$CJ$156&lt;&gt;N_Cat)</formula>
    </cfRule>
  </conditionalFormatting>
  <conditionalFormatting sqref="D104:M108">
    <cfRule type="expression" dxfId="21" priority="31">
      <formula>$D$104=""</formula>
    </cfRule>
    <cfRule type="expression" dxfId="22" priority="32">
      <formula>N_WH=$D$104</formula>
    </cfRule>
    <cfRule type="expression" dxfId="23" priority="33">
      <formula>AND(N_WH&lt;&gt;"Tutti",N_WH&lt;&gt;$D$104)</formula>
    </cfRule>
  </conditionalFormatting>
  <conditionalFormatting sqref="D124:M126">
    <cfRule type="expression" dxfId="21" priority="34">
      <formula>$D$124=""</formula>
    </cfRule>
    <cfRule type="expression" dxfId="22" priority="35">
      <formula>N_City=$D$124</formula>
    </cfRule>
    <cfRule type="expression" dxfId="23" priority="36">
      <formula>AND(N_City&lt;&gt;"Tutte",N_City&lt;&gt;$D$124)</formula>
    </cfRule>
  </conditionalFormatting>
  <conditionalFormatting sqref="D129:M129">
    <cfRule type="expression" dxfId="21" priority="37">
      <formula>$D$129=""</formula>
    </cfRule>
    <cfRule type="expression" dxfId="22" priority="38">
      <formula>N_City=$D$129</formula>
    </cfRule>
    <cfRule type="expression" dxfId="23" priority="39">
      <formula>AND(N_City&lt;&gt;"Tutte",N_City&lt;&gt;$D$129)</formula>
    </cfRule>
  </conditionalFormatting>
  <conditionalFormatting sqref="D131:M132">
    <cfRule type="expression" dxfId="21" priority="40">
      <formula>$D$131=""</formula>
    </cfRule>
    <cfRule type="expression" dxfId="22" priority="41">
      <formula>N_City=$D$131</formula>
    </cfRule>
    <cfRule type="expression" dxfId="23" priority="42">
      <formula>AND(N_City&lt;&gt;"Tutte",N_City&lt;&gt;$D$131)</formula>
    </cfRule>
  </conditionalFormatting>
  <conditionalFormatting sqref="D134:M137">
    <cfRule type="expression" dxfId="21" priority="43">
      <formula>$D$134=""</formula>
    </cfRule>
    <cfRule type="expression" dxfId="22" priority="44">
      <formula>N_City=$D$134</formula>
    </cfRule>
    <cfRule type="expression" dxfId="23" priority="45">
      <formula>AND(N_City&lt;&gt;"Tutte",N_City&lt;&gt;$D$134)</formula>
    </cfRule>
  </conditionalFormatting>
  <conditionalFormatting sqref="D139:M141">
    <cfRule type="expression" dxfId="21" priority="46">
      <formula>$D$139=""</formula>
    </cfRule>
    <cfRule type="expression" dxfId="22" priority="47">
      <formula>N_City=$D$139</formula>
    </cfRule>
    <cfRule type="expression" dxfId="23" priority="48">
      <formula>AND(N_City&lt;&gt;"Tutte",N_City&lt;&gt;$D$139)</formula>
    </cfRule>
  </conditionalFormatting>
  <conditionalFormatting sqref="D69:G70">
    <cfRule type="expression" dxfId="21" priority="1">
      <formula>$D$69=""</formula>
    </cfRule>
    <cfRule type="expression" dxfId="22" priority="2">
      <formula>N_Month=$D$69</formula>
    </cfRule>
    <cfRule type="expression" dxfId="23" priority="3">
      <formula>AND(N_Month&lt;&gt;"Tutti",N_Month&lt;&gt;$D$69)</formula>
    </cfRule>
  </conditionalFormatting>
  <conditionalFormatting sqref="D73:G74">
    <cfRule type="expression" dxfId="21" priority="10">
      <formula>$D$73=""</formula>
    </cfRule>
    <cfRule type="expression" dxfId="22" priority="11">
      <formula>N_Month=$D$73</formula>
    </cfRule>
    <cfRule type="expression" dxfId="23" priority="12">
      <formula>AND(N_Month&lt;&gt;"Tutti",N_Month&lt;&gt;$D$73)</formula>
    </cfRule>
  </conditionalFormatting>
  <conditionalFormatting sqref="D84:M86">
    <cfRule type="expression" dxfId="21" priority="19">
      <formula>$D$84=""</formula>
    </cfRule>
    <cfRule type="expression" dxfId="22" priority="20">
      <formula>N_WH=$D$84</formula>
    </cfRule>
    <cfRule type="expression" dxfId="23" priority="21">
      <formula>AND(N_WH&lt;&gt;"Tutti",N_WH&lt;&gt;$D$84)</formula>
    </cfRule>
  </conditionalFormatting>
  <conditionalFormatting sqref="D88:M90">
    <cfRule type="expression" dxfId="21" priority="22">
      <formula>$D$88=""</formula>
    </cfRule>
    <cfRule type="expression" dxfId="22" priority="23">
      <formula>N_WH=$D$88</formula>
    </cfRule>
    <cfRule type="expression" dxfId="23" priority="24">
      <formula>AND(N_WH&lt;&gt;"Tutti",N_WH&lt;&gt;$D$88)</formula>
    </cfRule>
  </conditionalFormatting>
  <conditionalFormatting sqref="D92:M95">
    <cfRule type="expression" dxfId="21" priority="25">
      <formula>$D$92=""</formula>
    </cfRule>
    <cfRule type="expression" dxfId="22" priority="26">
      <formula>N_WH=$D$92</formula>
    </cfRule>
    <cfRule type="expression" dxfId="23" priority="27">
      <formula>AND(N_WH&lt;&gt;"Tutti",N_WH&lt;&gt;$D$92)</formula>
    </cfRule>
  </conditionalFormatting>
  <conditionalFormatting sqref="D97:M102">
    <cfRule type="expression" dxfId="21" priority="28">
      <formula>$D$97=""</formula>
    </cfRule>
    <cfRule type="expression" dxfId="22" priority="29">
      <formula>N_WH=$D$97</formula>
    </cfRule>
    <cfRule type="expression" dxfId="23" priority="30">
      <formula>AND(N_WH&lt;&gt;"Tutti",N_WH&lt;&gt;$D$97)</formula>
    </cfRule>
  </conditionalFormatting>
  <conditionalFormatting sqref="DK150:DO151">
    <cfRule type="expression" dxfId="29" priority="130">
      <formula>AND(N_Cat&lt;&gt;"Tutte",$CJ$150&lt;&gt;N_Cat)</formula>
    </cfRule>
  </conditionalFormatting>
  <conditionalFormatting sqref="DK152:DO152">
    <cfRule type="expression" dxfId="29" priority="134">
      <formula>AND(N_Cat&lt;&gt;"Tutte",$CJ$152&lt;&gt;N_Cat)</formula>
    </cfRule>
  </conditionalFormatting>
  <conditionalFormatting sqref="DK153:DO153">
    <cfRule type="expression" dxfId="29" priority="138">
      <formula>AND(N_Cat&lt;&gt;"Tutte",$CJ$153&lt;&gt;N_Cat)</formula>
    </cfRule>
  </conditionalFormatting>
  <conditionalFormatting sqref="DK154:DO154">
    <cfRule type="expression" dxfId="29" priority="142">
      <formula>AND(N_Cat&lt;&gt;"Tutte",$CJ$154&lt;&gt;N_Cat)</formula>
    </cfRule>
  </conditionalFormatting>
  <conditionalFormatting sqref="DK155:DO155">
    <cfRule type="expression" dxfId="29" priority="146">
      <formula>AND(N_Cat&lt;&gt;"Tutte",$CJ$155&lt;&gt;N_Cat)</formula>
    </cfRule>
  </conditionalFormatting>
  <conditionalFormatting sqref="DK156:DO157">
    <cfRule type="expression" dxfId="29" priority="150">
      <formula>AND(N_Cat&lt;&gt;"Tutte",$CJ$156&lt;&gt;N_Cat)</formula>
    </cfRule>
  </conditionalFormatting>
  <conditionalFormatting sqref="DM30:DM34">
    <cfRule type="expression" dxfId="24" priority="57">
      <formula>AND(ISNUMBER($DN$30),$DN$30&gt;0)</formula>
    </cfRule>
    <cfRule type="expression" dxfId="25" priority="58">
      <formula>AND(ISNUMBER($DN$30),$DN$30&lt;0)</formula>
    </cfRule>
  </conditionalFormatting>
  <conditionalFormatting sqref="DU150:DY151">
    <cfRule type="expression" dxfId="31" priority="151">
      <formula>$DU$150=N_Month</formula>
    </cfRule>
  </conditionalFormatting>
  <conditionalFormatting sqref="DU152:DY152">
    <cfRule type="expression" dxfId="31" priority="155">
      <formula>$DU$152=N_Month</formula>
    </cfRule>
  </conditionalFormatting>
  <conditionalFormatting sqref="DU153:DY153">
    <cfRule type="expression" dxfId="31" priority="159">
      <formula>$DU$153=N_Month</formula>
    </cfRule>
  </conditionalFormatting>
  <conditionalFormatting sqref="DU154:DY154">
    <cfRule type="expression" dxfId="31" priority="163">
      <formula>$DU$154=N_Month</formula>
    </cfRule>
  </conditionalFormatting>
  <conditionalFormatting sqref="DU155:DY155">
    <cfRule type="expression" dxfId="31" priority="167">
      <formula>$DU$155=N_Month</formula>
    </cfRule>
  </conditionalFormatting>
  <conditionalFormatting sqref="DU156:DY157">
    <cfRule type="expression" dxfId="31" priority="171">
      <formula>$DU$156=N_Month</formula>
    </cfRule>
  </conditionalFormatting>
  <conditionalFormatting sqref="DZ150:EI151">
    <cfRule type="expression" dxfId="31" priority="152">
      <formula>$DU$150=N_Month</formula>
    </cfRule>
  </conditionalFormatting>
  <conditionalFormatting sqref="DZ152:EI152">
    <cfRule type="expression" dxfId="31" priority="156">
      <formula>$DU$152=N_Month</formula>
    </cfRule>
  </conditionalFormatting>
  <conditionalFormatting sqref="DZ153:EI153">
    <cfRule type="expression" dxfId="31" priority="160">
      <formula>$DU$153=N_Month</formula>
    </cfRule>
  </conditionalFormatting>
  <conditionalFormatting sqref="DZ154:EI154">
    <cfRule type="expression" dxfId="31" priority="164">
      <formula>$DU$154=N_Month</formula>
    </cfRule>
  </conditionalFormatting>
  <conditionalFormatting sqref="DZ155:EI155">
    <cfRule type="expression" dxfId="31" priority="168">
      <formula>$DU$155=N_Month</formula>
    </cfRule>
  </conditionalFormatting>
  <conditionalFormatting sqref="DZ156:EI157">
    <cfRule type="expression" dxfId="31" priority="172">
      <formula>$DU$156=N_Month</formula>
    </cfRule>
  </conditionalFormatting>
  <conditionalFormatting sqref="EF108:ES113 EU108:EX113 ET108:ET109 ET113:ET113">
    <cfRule type="expression" dxfId="27" priority="175">
      <formula>N_Status="Scorta bassa"</formula>
    </cfRule>
    <cfRule type="expression" dxfId="28" priority="176">
      <formula>AND(N_Status&lt;&gt;"Tutti",N_Status&lt;&gt;"Scorta bassa")</formula>
    </cfRule>
  </conditionalFormatting>
  <conditionalFormatting sqref="EF116:ES120 EU116:EX120 ET116:ET116 ET120:ET120">
    <cfRule type="expression" dxfId="27" priority="177">
      <formula>N_Status="Danni elevati"</formula>
    </cfRule>
    <cfRule type="expression" dxfId="28" priority="178">
      <formula>AND(N_Status&lt;&gt;"Tutti",N_Status&lt;&gt;"Danni elevati")</formula>
    </cfRule>
  </conditionalFormatting>
  <conditionalFormatting sqref="EF122:ES125 EU122:EX125 ET122:ET122 ET125:ET125">
    <cfRule type="expression" dxfId="27" priority="179">
      <formula>N_Status="Utilizzo alto"</formula>
    </cfRule>
    <cfRule type="expression" dxfId="28" priority="180">
      <formula>AND(N_Status&lt;&gt;"Tutti",N_Status&lt;&gt;"Utilizzo alto")</formula>
    </cfRule>
  </conditionalFormatting>
  <conditionalFormatting sqref="EF128:EX130">
    <cfRule type="expression" dxfId="27" priority="181">
      <formula>N_Status="Stato critico"</formula>
    </cfRule>
    <cfRule type="expression" dxfId="28" priority="182">
      <formula>AND(N_Status&lt;&gt;"Tutti",N_Status&lt;&gt;"Stato critico")</formula>
    </cfRule>
  </conditionalFormatting>
  <conditionalFormatting sqref="EF68:EX69">
    <cfRule type="expression" dxfId="26" priority="59">
      <formula>$EF$68=""</formula>
    </cfRule>
    <cfRule type="expression" dxfId="27" priority="60">
      <formula>N_Cat=$EF$68</formula>
    </cfRule>
    <cfRule type="expression" dxfId="28" priority="61">
      <formula>AND(N_Cat&lt;&gt;"Tutte",N_Cat&lt;&gt;$EF$68)</formula>
    </cfRule>
  </conditionalFormatting>
  <conditionalFormatting sqref="EF72:EX73">
    <cfRule type="expression" dxfId="26" priority="62">
      <formula>$EF$72=""</formula>
    </cfRule>
    <cfRule type="expression" dxfId="27" priority="63">
      <formula>N_Cat=$EF$72</formula>
    </cfRule>
    <cfRule type="expression" dxfId="28" priority="64">
      <formula>AND(N_Cat&lt;&gt;"Tutte",N_Cat&lt;&gt;$EF$72)</formula>
    </cfRule>
  </conditionalFormatting>
  <conditionalFormatting sqref="EF76:EX79">
    <cfRule type="expression" dxfId="26" priority="65">
      <formula>$EF$76=""</formula>
    </cfRule>
    <cfRule type="expression" dxfId="27" priority="66">
      <formula>N_Cat=$EF$76</formula>
    </cfRule>
    <cfRule type="expression" dxfId="28" priority="67">
      <formula>AND(N_Cat&lt;&gt;"Tutte",N_Cat&lt;&gt;$EF$76)</formula>
    </cfRule>
  </conditionalFormatting>
  <conditionalFormatting sqref="EF82:EX84">
    <cfRule type="expression" dxfId="26" priority="68">
      <formula>$EF$82=""</formula>
    </cfRule>
    <cfRule type="expression" dxfId="27" priority="69">
      <formula>N_Cat=$EF$82</formula>
    </cfRule>
    <cfRule type="expression" dxfId="28" priority="70">
      <formula>AND(N_Cat&lt;&gt;"Tutte",N_Cat&lt;&gt;$EF$82)</formula>
    </cfRule>
  </conditionalFormatting>
  <conditionalFormatting sqref="EF86:EX88">
    <cfRule type="expression" dxfId="26" priority="71">
      <formula>$EF$86=""</formula>
    </cfRule>
    <cfRule type="expression" dxfId="27" priority="72">
      <formula>N_Cat=$EF$86</formula>
    </cfRule>
    <cfRule type="expression" dxfId="28" priority="73">
      <formula>AND(N_Cat&lt;&gt;"Tutte",N_Cat&lt;&gt;$EF$86)</formula>
    </cfRule>
  </conditionalFormatting>
  <conditionalFormatting sqref="EF90:EX92">
    <cfRule type="expression" dxfId="26" priority="74">
      <formula>$EF$90=""</formula>
    </cfRule>
    <cfRule type="expression" dxfId="27" priority="75">
      <formula>N_Cat=$EF$90</formula>
    </cfRule>
    <cfRule type="expression" dxfId="28" priority="76">
      <formula>AND(N_Cat&lt;&gt;"Tutte",N_Cat&lt;&gt;$EF$90)</formula>
    </cfRule>
  </conditionalFormatting>
  <conditionalFormatting sqref="EJ150:EQ151">
    <cfRule type="expression" dxfId="31" priority="153">
      <formula>$DU$150=N_Month</formula>
    </cfRule>
  </conditionalFormatting>
  <conditionalFormatting sqref="EJ152:EQ152">
    <cfRule type="expression" dxfId="31" priority="157">
      <formula>$DU$152=N_Month</formula>
    </cfRule>
  </conditionalFormatting>
  <conditionalFormatting sqref="EJ153:EQ153">
    <cfRule type="expression" dxfId="31" priority="161">
      <formula>$DU$153=N_Month</formula>
    </cfRule>
  </conditionalFormatting>
  <conditionalFormatting sqref="EJ154:EQ154">
    <cfRule type="expression" dxfId="31" priority="165">
      <formula>$DU$154=N_Month</formula>
    </cfRule>
  </conditionalFormatting>
  <conditionalFormatting sqref="EJ155:EQ155">
    <cfRule type="expression" dxfId="31" priority="169">
      <formula>$DU$155=N_Month</formula>
    </cfRule>
  </conditionalFormatting>
  <conditionalFormatting sqref="EJ156:EQ157">
    <cfRule type="expression" dxfId="31" priority="173">
      <formula>$DU$156=N_Month</formula>
    </cfRule>
  </conditionalFormatting>
  <conditionalFormatting sqref="ER150:EX151">
    <cfRule type="expression" dxfId="31" priority="154">
      <formula>$DU$150=N_Month</formula>
    </cfRule>
  </conditionalFormatting>
  <conditionalFormatting sqref="ER152:EX152">
    <cfRule type="expression" dxfId="31" priority="158">
      <formula>$DU$152=N_Month</formula>
    </cfRule>
  </conditionalFormatting>
  <conditionalFormatting sqref="ER153:EX153">
    <cfRule type="expression" dxfId="31" priority="162">
      <formula>$DU$153=N_Month</formula>
    </cfRule>
  </conditionalFormatting>
  <conditionalFormatting sqref="ER154:EX154">
    <cfRule type="expression" dxfId="31" priority="166">
      <formula>$DU$154=N_Month</formula>
    </cfRule>
  </conditionalFormatting>
  <conditionalFormatting sqref="ER155:EX155">
    <cfRule type="expression" dxfId="31" priority="170">
      <formula>$DU$155=N_Month</formula>
    </cfRule>
  </conditionalFormatting>
  <conditionalFormatting sqref="ER156:EX157">
    <cfRule type="expression" dxfId="31" priority="174">
      <formula>$DU$156=N_Month</formula>
    </cfRule>
  </conditionalFormatting>
  <conditionalFormatting sqref="I69:J70">
    <cfRule type="expression" dxfId="21" priority="4">
      <formula>$I$69=""</formula>
    </cfRule>
    <cfRule type="expression" dxfId="22" priority="5">
      <formula>N_Month=$I$69</formula>
    </cfRule>
    <cfRule type="expression" dxfId="23" priority="6">
      <formula>AND(N_Month&lt;&gt;"Tutti",N_Month&lt;&gt;$I$69)</formula>
    </cfRule>
  </conditionalFormatting>
  <conditionalFormatting sqref="I73:J74">
    <cfRule type="expression" dxfId="21" priority="13">
      <formula>$I$73=""</formula>
    </cfRule>
    <cfRule type="expression" dxfId="22" priority="14">
      <formula>N_Month=$I$73</formula>
    </cfRule>
    <cfRule type="expression" dxfId="23" priority="15">
      <formula>AND(N_Month&lt;&gt;"Tutti",N_Month&lt;&gt;$I$73)</formula>
    </cfRule>
  </conditionalFormatting>
  <conditionalFormatting sqref="L69:M70">
    <cfRule type="expression" dxfId="21" priority="7">
      <formula>$L$69=""</formula>
    </cfRule>
    <cfRule type="expression" dxfId="22" priority="8">
      <formula>N_Month=$L$69</formula>
    </cfRule>
    <cfRule type="expression" dxfId="23" priority="9">
      <formula>AND(N_Month&lt;&gt;"Tutti",N_Month&lt;&gt;$L$69)</formula>
    </cfRule>
  </conditionalFormatting>
  <conditionalFormatting sqref="L73:M74">
    <cfRule type="expression" dxfId="21" priority="16">
      <formula>$L$73=""</formula>
    </cfRule>
    <cfRule type="expression" dxfId="22" priority="17">
      <formula>N_Month=$L$73</formula>
    </cfRule>
    <cfRule type="expression" dxfId="23" priority="18">
      <formula>AND(N_Month&lt;&gt;"Tutti",N_Month&lt;&gt;$L$73)</formula>
    </cfRule>
  </conditionalFormatting>
  <conditionalFormatting sqref="Y150:AC151">
    <cfRule type="expression" dxfId="29" priority="77">
      <formula>$BS$150=0</formula>
    </cfRule>
  </conditionalFormatting>
  <conditionalFormatting sqref="Y152:AC152">
    <cfRule type="expression" dxfId="29" priority="87">
      <formula>$BS$152=0</formula>
    </cfRule>
  </conditionalFormatting>
  <conditionalFormatting sqref="Y153:AC153">
    <cfRule type="expression" dxfId="29" priority="97">
      <formula>$BS$153=0</formula>
    </cfRule>
  </conditionalFormatting>
  <conditionalFormatting sqref="Y154:AC154">
    <cfRule type="expression" dxfId="29" priority="107">
      <formula>$BS$154=0</formula>
    </cfRule>
  </conditionalFormatting>
  <conditionalFormatting sqref="Y155:AC155">
    <cfRule type="expression" dxfId="29" priority="117">
      <formula>$BS$155=0</formula>
    </cfRule>
  </conditionalFormatting>
  <dataValidations count="13">
    <dataValidation type="list" allowBlank="1" showInputMessage="1" showErrorMessage="1" errorTitle="Valore non valido" error="Scegli un valore dall'elenco a tendina." promptTitle="Filtro magazzino" prompt="Scegli un magazzino (o Tutti): si aggiornano KPI, grafici e tabelle." sqref="BX9:CV13">
      <formula1>L_WH</formula1>
    </dataValidation>
    <dataValidation type="list" allowBlank="1" showInputMessage="1" showErrorMessage="1" errorTitle="Valore non valido" error="Scegli un valore dall'elenco a tendina." promptTitle="Filtro mese" prompt="Scegli un mese (o Tutti). L'andamento mensile mostra sempre tutto il periodo." sqref="D64:L66">
      <formula1>L_Month</formula1>
    </dataValidation>
    <dataValidation allowBlank="1" showInputMessage="1" showErrorMessage="1" promptTitle="Filtro magazzino" prompt="Per filtrare usa il menu «Seleziona magazzino» in alto. Il pulsante giallo indica la selezione." sqref="D84:M86"/>
    <dataValidation allowBlank="1" showInputMessage="1" showErrorMessage="1" promptTitle="Filtro magazzino" prompt="Per filtrare usa il menu «Seleziona magazzino» in alto. Il pulsante giallo indica la selezione." sqref="D88:M90"/>
    <dataValidation allowBlank="1" showInputMessage="1" showErrorMessage="1" promptTitle="Filtro magazzino" prompt="Per filtrare usa il menu «Seleziona magazzino» in alto. Il pulsante giallo indica la selezione." sqref="D92:M95"/>
    <dataValidation allowBlank="1" showInputMessage="1" showErrorMessage="1" promptTitle="Filtro magazzino" prompt="Per filtrare usa il menu «Seleziona magazzino» in alto. Il pulsante giallo indica la selezione." sqref="D97:M102"/>
    <dataValidation allowBlank="1" showInputMessage="1" showErrorMessage="1" promptTitle="Filtro magazzino" prompt="Per filtrare usa il menu «Seleziona magazzino» in alto. Il pulsante giallo indica la selezione." sqref="D104:M108"/>
    <dataValidation type="list" allowBlank="1" showInputMessage="1" showErrorMessage="1" errorTitle="Valore non valido" error="Scegli un valore dall'elenco a tendina." promptTitle="Filtro città" prompt="Scegli una città (o Tutte)." sqref="D119:L122">
      <formula1>L_City</formula1>
    </dataValidation>
    <dataValidation type="list" allowBlank="1" showInputMessage="1" showErrorMessage="1" errorTitle="Valore non valido" error="Scegli un valore dall'elenco a tendina." promptTitle="Filtro categoria" prompt="Scegli una categoria (o Tutte)." sqref="EO61:EV64">
      <formula1>L_Cat</formula1>
    </dataValidation>
    <dataValidation type="list" allowBlank="1" showInputMessage="1" showErrorMessage="1" errorTitle="Valore non valido" error="Scegli un valore dall'elenco a tendina." promptTitle="Filtro stato" prompt="Mostra solo i movimenti con quell'allerta (o Tutti)." sqref="EM101:EV104">
      <formula1>L_Status</formula1>
    </dataValidation>
    <dataValidation type="whole" operator="greaterThanOrEqual" allowBlank="1" showInputMessage="1" showErrorMessage="1" errorTitle="Valore non valido" error="Inserisci un numero valido (per l'utilizzo: tra 0% e 100%)." promptTitle="Soglia scorta bassa" prompt="Modifica il valore: alert e grafico si aggiornano." sqref="ET110:ET112">
      <formula1>0</formula1>
    </dataValidation>
    <dataValidation type="whole" operator="greaterThanOrEqual" allowBlank="1" showInputMessage="1" showErrorMessage="1" errorTitle="Valore non valido" error="Inserisci un numero valido (per l'utilizzo: tra 0% e 100%)." promptTitle="Soglia danni elevati" prompt="Modifica il valore: alert e grafico si aggiornano." sqref="ET117:ET119">
      <formula1>0</formula1>
    </dataValidation>
    <dataValidation type="decimal" allowBlank="1" showInputMessage="1" showErrorMessage="1" errorTitle="Valore non valido" error="Inserisci un numero valido (per l'utilizzo: tra 0% e 100%)." promptTitle="Soglia utilizzo alto" prompt="Modifica il valore: alert e grafico si aggiornano." sqref="ET123:ET124">
      <formula1>0</formula1>
      <formula2>1</formula2>
    </dataValidation>
  </dataValidations>
  <printOptions horizontalCentered="1"/>
  <pageMargins left="0.2" right="0.2" top="0.2" bottom="0.2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560B0"/>
    <pageSetUpPr fitToPage="1"/>
  </sheetPr>
  <dimension ref="A1:W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outlineLevelCol="1"/>
  <cols>
    <col min="1" max="2" width="11.7109375" customWidth="1"/>
    <col min="3" max="3" width="8.7109375" customWidth="1"/>
    <col min="4" max="6" width="11.7109375" customWidth="1"/>
    <col min="7" max="7" width="22.7109375" customWidth="1"/>
    <col min="8" max="8" width="19.7109375" customWidth="1"/>
    <col min="9" max="10" width="10.7109375" customWidth="1"/>
    <col min="11" max="11" width="11.7109375" customWidth="1"/>
    <col min="12" max="12" width="12.7109375" customWidth="1"/>
    <col min="13" max="13" width="14.7109375" customWidth="1"/>
    <col min="14" max="15" width="11.7109375" customWidth="1"/>
    <col min="16" max="18" width="8.7109375" customWidth="1"/>
    <col min="19" max="19" width="10.7109375" customWidth="1"/>
    <col min="20" max="20" width="10.7109375" hidden="1" customWidth="1" outlineLevel="1"/>
    <col min="21" max="21" width="7.7109375" hidden="1" customWidth="1" outlineLevel="1"/>
    <col min="22" max="23" width="8.7109375" hidden="1" customWidth="1" outlineLevel="1"/>
  </cols>
  <sheetData>
    <row r="1" spans="1:23" ht="34.5" customHeight="1">
      <c r="A1" s="96" t="s">
        <v>47</v>
      </c>
      <c r="B1" s="96"/>
      <c r="C1" s="96"/>
      <c r="D1" s="96"/>
      <c r="E1" s="96"/>
      <c r="F1" s="96"/>
      <c r="G1" s="96"/>
      <c r="H1" s="96"/>
      <c r="I1" s="97" t="s">
        <v>2</v>
      </c>
      <c r="J1" s="97"/>
      <c r="K1" s="98" t="s">
        <v>3</v>
      </c>
      <c r="L1" s="98"/>
      <c r="M1" s="97" t="s">
        <v>4</v>
      </c>
      <c r="N1" s="97" t="s">
        <v>5</v>
      </c>
      <c r="O1" s="97"/>
      <c r="P1" s="1"/>
      <c r="Q1" s="1"/>
      <c r="R1" s="1"/>
      <c r="S1" s="1"/>
      <c r="T1" s="1"/>
      <c r="U1" s="1"/>
      <c r="V1" s="1"/>
      <c r="W1" s="1"/>
    </row>
    <row r="2" spans="1:23" ht="18" customHeight="1">
      <c r="A2" s="99" t="s">
        <v>48</v>
      </c>
      <c r="B2" s="99"/>
      <c r="C2" s="99"/>
      <c r="D2" s="99"/>
      <c r="E2" s="99"/>
      <c r="F2" s="99"/>
      <c r="G2" s="99"/>
      <c r="H2" s="99"/>
      <c r="I2" s="99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8" customHeight="1">
      <c r="A3" s="100" t="s">
        <v>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</row>
    <row r="4" spans="1:23" ht="7.5" customHeight="1"/>
    <row r="5" spans="1:23" ht="30" customHeight="1">
      <c r="A5" s="102" t="s">
        <v>49</v>
      </c>
      <c r="B5" s="102" t="s">
        <v>50</v>
      </c>
      <c r="C5" s="103" t="s">
        <v>51</v>
      </c>
      <c r="D5" s="102" t="s">
        <v>15</v>
      </c>
      <c r="E5" s="103" t="s">
        <v>10</v>
      </c>
      <c r="F5" s="102" t="s">
        <v>52</v>
      </c>
      <c r="G5" s="103" t="s">
        <v>44</v>
      </c>
      <c r="H5" s="103" t="s">
        <v>45</v>
      </c>
      <c r="I5" s="102" t="s">
        <v>23</v>
      </c>
      <c r="J5" s="102" t="s">
        <v>24</v>
      </c>
      <c r="K5" s="102" t="s">
        <v>25</v>
      </c>
      <c r="L5" s="102" t="s">
        <v>30</v>
      </c>
      <c r="M5" s="102" t="s">
        <v>31</v>
      </c>
      <c r="N5" s="103" t="s">
        <v>53</v>
      </c>
      <c r="O5" s="103" t="s">
        <v>54</v>
      </c>
      <c r="P5" s="103" t="s">
        <v>55</v>
      </c>
      <c r="Q5" s="103" t="s">
        <v>56</v>
      </c>
      <c r="R5" s="103" t="s">
        <v>57</v>
      </c>
      <c r="S5" s="103" t="s">
        <v>58</v>
      </c>
      <c r="T5" s="104" t="s">
        <v>59</v>
      </c>
      <c r="U5" s="104" t="s">
        <v>60</v>
      </c>
      <c r="V5" s="104" t="s">
        <v>61</v>
      </c>
      <c r="W5" s="104" t="s">
        <v>62</v>
      </c>
    </row>
    <row r="6" spans="1:23">
      <c r="A6" s="105"/>
      <c r="B6" s="106"/>
      <c r="C6" s="107">
        <f>IF(tblMovimenti[[#This Row],[Data]]="","",CHOOSE(MONTH(tblMovimenti[[#This Row],[Data]]),"Gen","Feb","Mar","Apr","Mag","Giu","Lug","Ago","Set","Ott","Nov","Dic")&amp;"-"&amp;RIGHT(YEAR(tblMovimenti[[#This Row],[Data]]),2))</f>
        <v/>
      </c>
      <c r="D6" s="105"/>
      <c r="E6" s="107">
        <f>IFERROR(INDEX(WH_City,MATCH(tblMovimenti[[#This Row],[Magazzino]],WH_Code,0)),"")</f>
        <v/>
      </c>
      <c r="F6" s="105"/>
      <c r="G6" s="108">
        <f>IFERROR(INDEX(tblProdotti[Prodotto],MATCH(tblMovimenti[[#This Row],[Codice prodotto]],tblProdotti[Codice],0)),"")</f>
        <v/>
      </c>
      <c r="H6" s="108">
        <f>IFERROR(INDEX(tblProdotti[Categoria],MATCH(tblMovimenti[[#This Row],[Codice prodotto]],tblProdotti[Codice],0)),"")</f>
        <v/>
      </c>
      <c r="I6" s="109"/>
      <c r="J6" s="109"/>
      <c r="K6" s="109"/>
      <c r="L6" s="110"/>
      <c r="M6" s="110"/>
      <c r="N6" s="111">
        <f>IF(OR(tblMovimenti[[#This Row],[Magazzino]]="",tblMovimenti[[#This Row],[Categoria]]="",tblMovimenti[[#This Row],[Data]]=""),"",IFERROR(INDEX(Open_Matrix,MATCH(tblMovimenti[[#This Row],[Magazzino]],WH_Code,0),MATCH(tblMovimenti[[#This Row],[Categoria]],Cat_List,0)),0)+SUMIFS(tblMovimenti[Ricevuti],tblMovimenti[Magazzino],tblMovimenti[[#This Row],[Magazzino]],tblMovimenti[Categoria],tblMovimenti[[#This Row],[Categoria]],tblMovimenti[Data],"&lt;="&amp;tblMovimenti[[#This Row],[Data]])-SUMIFS(tblMovimenti[Spediti],tblMovimenti[Magazzino],tblMovimenti[[#This Row],[Magazzino]],tblMovimenti[Categoria],tblMovimenti[[#This Row],[Categoria]],tblMovimenti[Data],"&lt;="&amp;tblMovimenti[[#This Row],[Data]])-SUMIFS(tblMovimenti[Danneggiati],tblMovimenti[Magazzino],tblMovimenti[[#This Row],[Magazzino]],tblMovimenti[Categoria],tblMovimenti[[#This Row],[Categoria]],tblMovimenti[Data],"&lt;="&amp;tblMovimenti[[#This Row],[Data]]))</f>
        <v/>
      </c>
      <c r="O6" s="112">
        <f>IF(OR(tblMovimenti[[#This Row],[Magazzino]]="",tblMovimenti[[#This Row],[Data]]=""),"",IFERROR((INDEX(WH_Open,MATCH(tblMovimenti[[#This Row],[Magazzino]],WH_Code,0))+SUMIFS(tblMovimenti[Ricevuti],tblMovimenti[Magazzino],tblMovimenti[[#This Row],[Magazzino]],tblMovimenti[Data],"&lt;="&amp;tblMovimenti[[#This Row],[Data]])-SUMIFS(tblMovimenti[Spediti],tblMovimenti[Magazzino],tblMovimenti[[#This Row],[Magazzino]],tblMovimenti[Data],"&lt;="&amp;tblMovimenti[[#This Row],[Data]])-SUMIFS(tblMovimenti[Danneggiati],tblMovimenti[Magazzino],tblMovimenti[[#This Row],[Magazzino]],tblMovimenti[Data],"&lt;="&amp;tblMovimenti[[#This Row],[Data]]))/INDEX(WH_Cap,MATCH(tblMovimenti[[#This Row],[Magazzino]],WH_Code,0)),""))</f>
        <v/>
      </c>
      <c r="P6" s="113">
        <f>IF(ISNUMBER(tblMovimenti[[#This Row],[Giacenza dopo]]),--(tblMovimenti[[#This Row],[Giacenza dopo]]&lt;N_Stock),0)</f>
        <v>0</v>
      </c>
      <c r="Q6" s="113">
        <f>--(N(tblMovimenti[[#This Row],[Danneggiati]])&gt;N_Dmg)</f>
        <v>0</v>
      </c>
      <c r="R6" s="113">
        <f>IF(ISNUMBER(tblMovimenti[[#This Row],[Utilizzo magazzino]]),--(tblMovimenti[[#This Row],[Utilizzo magazzino]]&gt;N_Util),0)</f>
        <v>0</v>
      </c>
      <c r="S6" s="107">
        <f>IF(tblMovimenti[[#This Row],[Magazzino]]="","",IF(tblMovimenti[[#This Row],[Scorta bassa]]+tblMovimenti[[#This Row],[Danni elevati]]+tblMovimenti[[#This Row],[Utilizzo alto]]&gt;=2,"Critico",IF(tblMovimenti[[#This Row],[Scorta bassa]]+tblMovimenti[[#This Row],[Danni elevati]]+tblMovimenti[[#This Row],[Utilizzo alto]]=1,"Attenzione","OK")))</f>
        <v/>
      </c>
      <c r="T6" s="114">
        <f>IF(tblMovimenti[[#This Row],[Data]]="","",DATE(YEAR(tblMovimenti[[#This Row],[Data]]),MONTH(tblMovimenti[[#This Row],[Data]]),1))</f>
        <v/>
      </c>
      <c r="U6" s="115">
        <f>IF(tblMovimenti[[#This Row],[Data]]="",0,IFERROR(MATCH(tblMovimenti[[#This Row],[Inizio mese]],Month_Starts,0),0))</f>
        <v>0</v>
      </c>
      <c r="V6" s="115">
        <f>IF(tblMovimenti[[#This Row],[Magazzino]]="",0,--AND(OR(N_WH="Tutti",tblMovimenti[[#This Row],[Magazzino]]=N_WH),OR(N_City="Tutte",tblMovimenti[[#This Row],[Città]]=N_City),OR(N_Cat="Tutte",tblMovimenti[[#This Row],[Categoria]]=N_Cat)))</f>
        <v>0</v>
      </c>
      <c r="W6" s="115">
        <f>tblMovimenti[[#This Row],[Filtro giacenza]]*IF(N_Status="Tutti",1,IF(N_Status="Scorta bassa",tblMovimenti[[#This Row],[Scorta bassa]],IF(N_Status="Danni elevati",tblMovimenti[[#This Row],[Danni elevati]],IF(N_Status="Utilizzo alto",tblMovimenti[[#This Row],[Utilizzo alto]],--(tblMovimenti[[#This Row],[Stato]]="Critico")))))</f>
        <v>0</v>
      </c>
    </row>
    <row r="8" spans="1:23">
      <c r="A8" s="116" t="s">
        <v>63</v>
      </c>
    </row>
    <row r="9" spans="1:23">
      <c r="A9" s="116" t="s">
        <v>64</v>
      </c>
    </row>
  </sheetData>
  <mergeCells count="5">
    <mergeCell ref="A1:H1"/>
    <mergeCell ref="A2:I2"/>
    <mergeCell ref="I1:J1"/>
    <mergeCell ref="K1:L1"/>
    <mergeCell ref="N1:O1"/>
  </mergeCells>
  <conditionalFormatting sqref="P6:P2005">
    <cfRule type="cellIs" dxfId="18" priority="4" operator="equal">
      <formula>1</formula>
    </cfRule>
  </conditionalFormatting>
  <conditionalFormatting sqref="Q6:Q2005">
    <cfRule type="cellIs" dxfId="19" priority="5" operator="equal">
      <formula>1</formula>
    </cfRule>
  </conditionalFormatting>
  <conditionalFormatting sqref="R6:R2005">
    <cfRule type="cellIs" dxfId="20" priority="6" operator="equal">
      <formula>1</formula>
    </cfRule>
  </conditionalFormatting>
  <conditionalFormatting sqref="S6:S2005">
    <cfRule type="cellIs" dxfId="15" priority="1" operator="equal">
      <formula>"Critico"</formula>
    </cfRule>
    <cfRule type="cellIs" dxfId="16" priority="2" operator="equal">
      <formula>"Attenzione"</formula>
    </cfRule>
    <cfRule type="cellIs" dxfId="17" priority="3" operator="equal">
      <formula>"OK"</formula>
    </cfRule>
  </conditionalFormatting>
  <dataValidations count="4">
    <dataValidation type="list" allowBlank="1" showInputMessage="1" showErrorMessage="1" errorTitle="Magazzino non valido" error="Scegli un codice magazzino dall'elenco (foglio Riepilogo Magazzini)." sqref="D6:D2005">
      <formula1>WH_List</formula1>
    </dataValidation>
    <dataValidation type="list" allowBlank="1" showInputMessage="1" showErrorMessage="1" errorTitle="Prodotto non valido" error="Scegli un codice presente in Anagrafica Prodotti." sqref="F6:F2005">
      <formula1>L_Prod</formula1>
    </dataValidation>
    <dataValidation type="date" operator="greaterThan" allowBlank="1" showInputMessage="1" showErrorMessage="1" errorTitle="Data non valida" error="Inserisci una data (gg/mm/aaaa)." sqref="B6:B2005">
      <formula1>36526</formula1>
    </dataValidation>
    <dataValidation type="decimal" operator="greaterThanOrEqual" allowBlank="1" showInputMessage="1" showErrorMessage="1" errorTitle="Valore non valido" error="Inserisci un numero maggiore o uguale a zero." sqref="I6:M2005">
      <formula1>0</formula1>
    </dataValidation>
  </dataValidations>
  <hyperlinks>
    <hyperlink ref="I1" location="'Dashboard'!A1" tooltip="Vai al foglio Dashboard" display="◄ Dashboard"/>
    <hyperlink ref="K1" location="'Dati Magazzino'!A1" tooltip="Vai al foglio Dati Magazzino" display="Dati"/>
    <hyperlink ref="M1" location="'Anagrafica Prodotti'!A1" tooltip="Vai al foglio Anagrafica Prodotti" display="Prodotti"/>
    <hyperlink ref="N1" location="'Riepilogo Magazzini'!A1" tooltip="Vai al foglio Riepilogo Magazzini" display="Riepilogo"/>
  </hyperlinks>
  <pageMargins left="0.3" right="0.3" top="0.4" bottom="0.4" header="0.3" footer="0.3"/>
  <pageSetup paperSize="9" fitToHeight="0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560B0"/>
    <pageSetUpPr fitToPage="1"/>
  </sheetPr>
  <dimension ref="A1:L6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2.7109375" customWidth="1"/>
    <col min="2" max="2" width="28.7109375" customWidth="1"/>
    <col min="3" max="3" width="22.7109375" customWidth="1"/>
    <col min="4" max="4" width="9.7109375" customWidth="1"/>
    <col min="5" max="7" width="12.7109375" customWidth="1"/>
    <col min="8" max="8" width="13.7109375" customWidth="1"/>
    <col min="9" max="9" width="12.7109375" customWidth="1"/>
    <col min="10" max="12" width="3.7109375" customWidth="1"/>
  </cols>
  <sheetData>
    <row r="1" spans="1:12" ht="34.5" customHeight="1">
      <c r="A1" s="96" t="s">
        <v>42</v>
      </c>
      <c r="B1" s="96"/>
      <c r="C1" s="96"/>
      <c r="D1" s="96"/>
      <c r="E1" s="96"/>
      <c r="F1" s="97" t="s">
        <v>2</v>
      </c>
      <c r="G1" s="97" t="s">
        <v>3</v>
      </c>
      <c r="H1" s="98" t="s">
        <v>4</v>
      </c>
      <c r="I1" s="97" t="s">
        <v>5</v>
      </c>
      <c r="J1" s="1"/>
      <c r="K1" s="1"/>
      <c r="L1" s="1"/>
    </row>
    <row r="2" spans="1:12" ht="18" customHeight="1">
      <c r="A2" s="99" t="s">
        <v>43</v>
      </c>
      <c r="B2" s="99"/>
      <c r="C2" s="99"/>
      <c r="D2" s="99"/>
      <c r="E2" s="99"/>
      <c r="F2" s="99"/>
      <c r="G2" s="99"/>
      <c r="H2" s="99"/>
      <c r="I2" s="99"/>
      <c r="J2" s="11"/>
      <c r="K2" s="11"/>
      <c r="L2" s="11"/>
    </row>
    <row r="3" spans="1:12" ht="18" customHeight="1">
      <c r="A3" s="100" t="s">
        <v>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7.5" customHeight="1"/>
    <row r="5" spans="1:12" ht="25.5" customHeight="1">
      <c r="A5" s="117" t="s">
        <v>9</v>
      </c>
      <c r="B5" s="117" t="s">
        <v>44</v>
      </c>
      <c r="C5" s="117" t="s">
        <v>45</v>
      </c>
      <c r="D5" s="117" t="s">
        <v>46</v>
      </c>
      <c r="E5" s="118" t="s">
        <v>22</v>
      </c>
      <c r="F5" s="118" t="s">
        <v>23</v>
      </c>
      <c r="G5" s="118" t="s">
        <v>24</v>
      </c>
      <c r="H5" s="118" t="s">
        <v>25</v>
      </c>
      <c r="I5" s="118" t="s">
        <v>26</v>
      </c>
    </row>
    <row r="6" spans="1:12">
      <c r="A6" s="119"/>
      <c r="B6" s="120"/>
      <c r="C6" s="120"/>
      <c r="D6" s="119"/>
      <c r="E6" s="121">
        <f>IF(tblProdotti[[#This Row],[Codice]]="","",COUNTIFS(tblMovimenti[Codice prodotto],tblProdotti[[#This Row],[Codice]]))</f>
        <v/>
      </c>
      <c r="F6" s="121">
        <f>IF(tblProdotti[[#This Row],[Codice]]="","",SUMIFS(tblMovimenti[Ricevuti],tblMovimenti[Codice prodotto],tblProdotti[[#This Row],[Codice]]))</f>
        <v/>
      </c>
      <c r="G6" s="121">
        <f>IF(tblProdotti[[#This Row],[Codice]]="","",SUMIFS(tblMovimenti[Spediti],tblMovimenti[Codice prodotto],tblProdotti[[#This Row],[Codice]]))</f>
        <v/>
      </c>
      <c r="H6" s="121">
        <f>IF(tblProdotti[[#This Row],[Codice]]="","",SUMIFS(tblMovimenti[Danneggiati],tblMovimenti[Codice prodotto],tblProdotti[[#This Row],[Codice]]))</f>
        <v/>
      </c>
      <c r="I6" s="122">
        <f>IF(tblProdotti[[#This Row],[Codice]]="","",IF(N(tblProdotti[[#This Row],[Ricevuti]])&gt;0,tblProdotti[[#This Row],[Danneggiati]]/tblProdotti[[#This Row],[Ricevuti]],0))</f>
        <v/>
      </c>
    </row>
  </sheetData>
  <mergeCells count="2">
    <mergeCell ref="A1:E1"/>
    <mergeCell ref="A2:I2"/>
  </mergeCells>
  <dataValidations count="1">
    <dataValidation type="list" allowBlank="1" showInputMessage="1" showErrorMessage="1" errorTitle="Categoria non valida" error="Scegli una categoria dall'elenco (foglio Riepilogo Magazzini, sezione 2)." sqref="C6:C205">
      <formula1>Cat_DV</formula1>
    </dataValidation>
  </dataValidations>
  <hyperlinks>
    <hyperlink ref="F1" location="'Dashboard'!A1" tooltip="Vai al foglio Dashboard" display="◄ Dashboard"/>
    <hyperlink ref="G1" location="'Dati Magazzino'!A1" tooltip="Vai al foglio Dati Magazzino" display="Dati"/>
    <hyperlink ref="H1" location="'Anagrafica Prodotti'!A1" tooltip="Vai al foglio Anagrafica Prodotti" display="Prodotti"/>
    <hyperlink ref="I1" location="'Riepilogo Magazzini'!A1" tooltip="Vai al foglio Riepilogo Magazzini" display="Riepilogo"/>
  </hyperlinks>
  <pageMargins left="0.3" right="0.3" top="0.4" bottom="0.4" header="0.3" footer="0.3"/>
  <pageSetup paperSize="9" fitToHeight="0"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60B0"/>
    <pageSetUpPr fitToPage="1"/>
  </sheetPr>
  <dimension ref="A1:O43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3.7109375" customWidth="1"/>
    <col min="2" max="5" width="13.7109375" customWidth="1"/>
    <col min="6" max="9" width="15.7109375" customWidth="1"/>
    <col min="10" max="10" width="13.7109375" customWidth="1"/>
    <col min="11" max="11" width="14.7109375" customWidth="1"/>
    <col min="12" max="12" width="16.7109375" customWidth="1"/>
    <col min="13" max="13" width="18.7109375" customWidth="1"/>
    <col min="14" max="14" width="14.7109375" customWidth="1"/>
    <col min="15" max="15" width="3.7109375" customWidth="1"/>
  </cols>
  <sheetData>
    <row r="1" spans="1:15" ht="34.5" customHeight="1" x14ac:dyDescent="0.2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7" t="s">
        <v>2</v>
      </c>
      <c r="K1" s="97" t="s">
        <v>3</v>
      </c>
      <c r="L1" s="97" t="s">
        <v>4</v>
      </c>
      <c r="M1" s="98" t="s">
        <v>5</v>
      </c>
      <c r="N1" s="1"/>
      <c r="O1" s="1"/>
    </row>
    <row r="2" spans="1:15" ht="18" customHeight="1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11"/>
      <c r="K2" s="11"/>
      <c r="L2" s="11"/>
      <c r="M2" s="11"/>
      <c r="N2" s="11"/>
      <c r="O2" s="11"/>
    </row>
    <row r="3" spans="1:15" ht="18" customHeight="1" x14ac:dyDescent="0.25">
      <c r="A3" s="100" t="s">
        <v>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ht="7.5" customHeight="1" x14ac:dyDescent="0.25"/>
    <row r="5" spans="1:15" ht="19.5" customHeight="1" x14ac:dyDescent="0.25">
      <c r="B5" s="123" t="s">
        <v>7</v>
      </c>
      <c r="F5" s="116" t="s">
        <v>8</v>
      </c>
    </row>
    <row r="6" spans="1:15" ht="25.5" customHeight="1" x14ac:dyDescent="0.25">
      <c r="B6" s="124" t="s">
        <v>9</v>
      </c>
      <c r="C6" s="124" t="s">
        <v>10</v>
      </c>
      <c r="D6" s="124" t="s">
        <v>11</v>
      </c>
      <c r="E6" s="125" t="s">
        <v>12</v>
      </c>
    </row>
    <row r="7" spans="1:15" x14ac:dyDescent="0.25">
      <c r="B7" s="119"/>
      <c r="C7" s="119"/>
      <c r="D7" s="126"/>
      <c r="E7" s="121">
        <f>IF(B7="","",SUM(C16:H16))</f>
        <v/>
      </c>
    </row>
    <row r="8" spans="1:15" x14ac:dyDescent="0.25">
      <c r="B8" s="119"/>
      <c r="C8" s="119"/>
      <c r="D8" s="126"/>
      <c r="E8" s="121">
        <f>IF(B8="","",SUM(C17:H17))</f>
        <v/>
      </c>
    </row>
    <row r="9" spans="1:15" x14ac:dyDescent="0.25">
      <c r="B9" s="119"/>
      <c r="C9" s="119"/>
      <c r="D9" s="126"/>
      <c r="E9" s="121">
        <f>IF(B9="","",SUM(C18:H18))</f>
        <v/>
      </c>
    </row>
    <row r="10" spans="1:15" x14ac:dyDescent="0.25">
      <c r="B10" s="119"/>
      <c r="C10" s="119"/>
      <c r="D10" s="126"/>
      <c r="E10" s="121">
        <f>IF(B10="","",SUM(C19:H19))</f>
        <v/>
      </c>
    </row>
    <row r="11" spans="1:15" x14ac:dyDescent="0.25">
      <c r="B11" s="119"/>
      <c r="C11" s="119"/>
      <c r="D11" s="126"/>
      <c r="E11" s="121">
        <f>IF(B11="","",SUM(C20:H20))</f>
        <v/>
      </c>
    </row>
    <row r="13" spans="1:15" ht="19.5" customHeight="1" x14ac:dyDescent="0.25">
      <c r="B13" s="123" t="s">
        <v>13</v>
      </c>
      <c r="H13" s="116" t="s">
        <v>14</v>
      </c>
    </row>
    <row r="15" spans="1:15" ht="25.5" customHeight="1" x14ac:dyDescent="0.25">
      <c r="B15" s="125" t="s">
        <v>15</v>
      </c>
      <c r="C15" s="127"/>
      <c r="D15" s="127"/>
      <c r="E15" s="127"/>
      <c r="F15" s="127"/>
      <c r="G15" s="127"/>
      <c r="H15" s="127"/>
      <c r="I15" s="125" t="s">
        <v>16</v>
      </c>
    </row>
    <row r="16" spans="1:15" x14ac:dyDescent="0.25">
      <c r="B16" s="128">
        <f>IF(B7="","",B7)</f>
        <v/>
      </c>
      <c r="C16" s="126"/>
      <c r="D16" s="126"/>
      <c r="E16" s="126"/>
      <c r="F16" s="126"/>
      <c r="G16" s="126"/>
      <c r="H16" s="126"/>
      <c r="I16" s="121">
        <f>IF(B7="","",SUM(C16:H16))</f>
        <v/>
      </c>
    </row>
    <row r="17" spans="2:14" x14ac:dyDescent="0.25">
      <c r="B17" s="128">
        <f>IF(B8="","",B8)</f>
        <v/>
      </c>
      <c r="C17" s="126"/>
      <c r="D17" s="126"/>
      <c r="E17" s="126"/>
      <c r="F17" s="126"/>
      <c r="G17" s="126"/>
      <c r="H17" s="126"/>
      <c r="I17" s="121">
        <f>IF(B8="","",SUM(C17:H17))</f>
        <v/>
      </c>
    </row>
    <row r="18" spans="2:14" x14ac:dyDescent="0.25">
      <c r="B18" s="128">
        <f>IF(B9="","",B9)</f>
        <v/>
      </c>
      <c r="C18" s="126"/>
      <c r="D18" s="126"/>
      <c r="E18" s="126"/>
      <c r="F18" s="126"/>
      <c r="G18" s="126"/>
      <c r="H18" s="126"/>
      <c r="I18" s="121">
        <f>IF(B9="","",SUM(C18:H18))</f>
        <v/>
      </c>
    </row>
    <row r="19" spans="2:14" x14ac:dyDescent="0.25">
      <c r="B19" s="128">
        <f>IF(B10="","",B10)</f>
        <v/>
      </c>
      <c r="C19" s="126"/>
      <c r="D19" s="126"/>
      <c r="E19" s="126"/>
      <c r="F19" s="126"/>
      <c r="G19" s="126"/>
      <c r="H19" s="126"/>
      <c r="I19" s="121">
        <f>IF(B10="","",SUM(C19:H19))</f>
        <v/>
      </c>
    </row>
    <row r="20" spans="2:14" x14ac:dyDescent="0.25">
      <c r="B20" s="128">
        <f>IF(B11="","",B11)</f>
        <v/>
      </c>
      <c r="C20" s="126"/>
      <c r="D20" s="126"/>
      <c r="E20" s="126"/>
      <c r="F20" s="126"/>
      <c r="G20" s="126"/>
      <c r="H20" s="126"/>
      <c r="I20" s="121">
        <f>IF(B11="","",SUM(C20:H20))</f>
        <v/>
      </c>
    </row>
    <row r="21" spans="2:14" x14ac:dyDescent="0.25">
      <c r="C21" s="116" t="s">
        <v>17</v>
      </c>
    </row>
    <row r="23" spans="2:14" ht="19.5" customHeight="1" x14ac:dyDescent="0.25">
      <c r="B23" s="123" t="s">
        <v>18</v>
      </c>
    </row>
    <row r="24" spans="2:14" ht="19.5" customHeight="1" x14ac:dyDescent="0.25">
      <c r="B24" s="129" t="s">
        <v>19</v>
      </c>
      <c r="C24" s="129"/>
      <c r="D24" s="130">
        <v>46204</v>
      </c>
      <c r="E24" s="116" t="s">
        <v>20</v>
      </c>
    </row>
    <row r="26" spans="2:14" ht="19.5" customHeight="1" x14ac:dyDescent="0.25">
      <c r="B26" s="123" t="s">
        <v>21</v>
      </c>
    </row>
    <row r="27" spans="2:14" ht="25.5" customHeight="1" x14ac:dyDescent="0.25">
      <c r="B27" s="125" t="s">
        <v>15</v>
      </c>
      <c r="C27" s="125" t="s">
        <v>10</v>
      </c>
      <c r="D27" s="125" t="s">
        <v>22</v>
      </c>
      <c r="E27" s="125" t="s">
        <v>23</v>
      </c>
      <c r="F27" s="125" t="s">
        <v>24</v>
      </c>
      <c r="G27" s="125" t="s">
        <v>25</v>
      </c>
      <c r="H27" s="125" t="s">
        <v>26</v>
      </c>
      <c r="I27" s="125" t="s">
        <v>27</v>
      </c>
      <c r="J27" s="125" t="s">
        <v>28</v>
      </c>
      <c r="K27" s="125" t="s">
        <v>29</v>
      </c>
      <c r="L27" s="125" t="s">
        <v>30</v>
      </c>
      <c r="M27" s="125" t="s">
        <v>31</v>
      </c>
      <c r="N27" s="125" t="s">
        <v>32</v>
      </c>
    </row>
    <row r="28" spans="2:14" x14ac:dyDescent="0.25">
      <c r="B28" s="128">
        <f>IF(B7="","",B7)</f>
        <v/>
      </c>
      <c r="C28" s="128">
        <f>IF(B7="","",C7)</f>
        <v/>
      </c>
      <c r="D28" s="121">
        <f>IF($B28="","",COUNTIFS(tblMovimenti[Magazzino],$B28))</f>
        <v/>
      </c>
      <c r="E28" s="121">
        <f>IF($B28="","",SUMIFS(tblMovimenti[Ricevuti],tblMovimenti[Magazzino],$B28))</f>
        <v/>
      </c>
      <c r="F28" s="121">
        <f>IF($B28="","",SUMIFS(tblMovimenti[Spediti],tblMovimenti[Magazzino],$B28))</f>
        <v/>
      </c>
      <c r="G28" s="121">
        <f>IF($B28="","",SUMIFS(tblMovimenti[Danneggiati],tblMovimenti[Magazzino],$B28))</f>
        <v/>
      </c>
      <c r="H28" s="122">
        <f>IF($B28="","",IF(E28&gt;0,G28/E28,0))</f>
        <v/>
      </c>
      <c r="I28" s="121">
        <f>IF($B28="","",E7+E28-F28-G28)</f>
        <v/>
      </c>
      <c r="J28" s="121">
        <f>IF($B28="","",D7)</f>
        <v/>
      </c>
      <c r="K28" s="122">
        <f>IF($B28="","",IF(N(J28)&gt;0,I28/J28,0))</f>
        <v/>
      </c>
      <c r="L28" s="131">
        <f>IF($B28="","",SUMIFS(tblMovimenti[Costo stoccaggio],tblMovimenti[Magazzino],$B28))</f>
        <v/>
      </c>
      <c r="M28" s="131">
        <f>IF($B28="","",SUMIFS(tblMovimenti[Costo movimentazione],tblMovimenti[Magazzino],$B28))</f>
        <v/>
      </c>
      <c r="N28" s="121">
        <f>IF($B28="","",COUNTIFS(tblMovimenti[Magazzino],$B28,tblMovimenti[Stato],"&lt;&gt;OK"))</f>
        <v/>
      </c>
    </row>
    <row r="29" spans="2:14" x14ac:dyDescent="0.25">
      <c r="B29" s="128">
        <f>IF(B8="","",B8)</f>
        <v/>
      </c>
      <c r="C29" s="128">
        <f>IF(B8="","",C8)</f>
        <v/>
      </c>
      <c r="D29" s="121">
        <f>IF($B29="","",COUNTIFS(tblMovimenti[Magazzino],$B29))</f>
        <v/>
      </c>
      <c r="E29" s="121">
        <f>IF($B29="","",SUMIFS(tblMovimenti[Ricevuti],tblMovimenti[Magazzino],$B29))</f>
        <v/>
      </c>
      <c r="F29" s="121">
        <f>IF($B29="","",SUMIFS(tblMovimenti[Spediti],tblMovimenti[Magazzino],$B29))</f>
        <v/>
      </c>
      <c r="G29" s="121">
        <f>IF($B29="","",SUMIFS(tblMovimenti[Danneggiati],tblMovimenti[Magazzino],$B29))</f>
        <v/>
      </c>
      <c r="H29" s="122">
        <f>IF($B29="","",IF(E29&gt;0,G29/E29,0))</f>
        <v/>
      </c>
      <c r="I29" s="121">
        <f>IF($B29="","",E8+E29-F29-G29)</f>
        <v/>
      </c>
      <c r="J29" s="121">
        <f>IF($B29="","",D8)</f>
        <v/>
      </c>
      <c r="K29" s="122">
        <f>IF($B29="","",IF(N(J29)&gt;0,I29/J29,0))</f>
        <v/>
      </c>
      <c r="L29" s="131">
        <f>IF($B29="","",SUMIFS(tblMovimenti[Costo stoccaggio],tblMovimenti[Magazzino],$B29))</f>
        <v/>
      </c>
      <c r="M29" s="131">
        <f>IF($B29="","",SUMIFS(tblMovimenti[Costo movimentazione],tblMovimenti[Magazzino],$B29))</f>
        <v/>
      </c>
      <c r="N29" s="121">
        <f>IF($B29="","",COUNTIFS(tblMovimenti[Magazzino],$B29,tblMovimenti[Stato],"&lt;&gt;OK"))</f>
        <v/>
      </c>
    </row>
    <row r="30" spans="2:14" x14ac:dyDescent="0.25">
      <c r="B30" s="128">
        <f>IF(B9="","",B9)</f>
        <v/>
      </c>
      <c r="C30" s="128">
        <f>IF(B9="","",C9)</f>
        <v/>
      </c>
      <c r="D30" s="121">
        <f>IF($B30="","",COUNTIFS(tblMovimenti[Magazzino],$B30))</f>
        <v/>
      </c>
      <c r="E30" s="121">
        <f>IF($B30="","",SUMIFS(tblMovimenti[Ricevuti],tblMovimenti[Magazzino],$B30))</f>
        <v/>
      </c>
      <c r="F30" s="121">
        <f>IF($B30="","",SUMIFS(tblMovimenti[Spediti],tblMovimenti[Magazzino],$B30))</f>
        <v/>
      </c>
      <c r="G30" s="121">
        <f>IF($B30="","",SUMIFS(tblMovimenti[Danneggiati],tblMovimenti[Magazzino],$B30))</f>
        <v/>
      </c>
      <c r="H30" s="122">
        <f>IF($B30="","",IF(E30&gt;0,G30/E30,0))</f>
        <v/>
      </c>
      <c r="I30" s="121">
        <f>IF($B30="","",E9+E30-F30-G30)</f>
        <v/>
      </c>
      <c r="J30" s="121">
        <f>IF($B30="","",D9)</f>
        <v/>
      </c>
      <c r="K30" s="122">
        <f>IF($B30="","",IF(N(J30)&gt;0,I30/J30,0))</f>
        <v/>
      </c>
      <c r="L30" s="131">
        <f>IF($B30="","",SUMIFS(tblMovimenti[Costo stoccaggio],tblMovimenti[Magazzino],$B30))</f>
        <v/>
      </c>
      <c r="M30" s="131">
        <f>IF($B30="","",SUMIFS(tblMovimenti[Costo movimentazione],tblMovimenti[Magazzino],$B30))</f>
        <v/>
      </c>
      <c r="N30" s="121">
        <f>IF($B30="","",COUNTIFS(tblMovimenti[Magazzino],$B30,tblMovimenti[Stato],"&lt;&gt;OK"))</f>
        <v/>
      </c>
    </row>
    <row r="31" spans="2:14" x14ac:dyDescent="0.25">
      <c r="B31" s="128">
        <f>IF(B10="","",B10)</f>
        <v/>
      </c>
      <c r="C31" s="128">
        <f>IF(B10="","",C10)</f>
        <v/>
      </c>
      <c r="D31" s="121">
        <f>IF($B31="","",COUNTIFS(tblMovimenti[Magazzino],$B31))</f>
        <v/>
      </c>
      <c r="E31" s="121">
        <f>IF($B31="","",SUMIFS(tblMovimenti[Ricevuti],tblMovimenti[Magazzino],$B31))</f>
        <v/>
      </c>
      <c r="F31" s="121">
        <f>IF($B31="","",SUMIFS(tblMovimenti[Spediti],tblMovimenti[Magazzino],$B31))</f>
        <v/>
      </c>
      <c r="G31" s="121">
        <f>IF($B31="","",SUMIFS(tblMovimenti[Danneggiati],tblMovimenti[Magazzino],$B31))</f>
        <v/>
      </c>
      <c r="H31" s="122">
        <f>IF($B31="","",IF(E31&gt;0,G31/E31,0))</f>
        <v/>
      </c>
      <c r="I31" s="121">
        <f>IF($B31="","",E10+E31-F31-G31)</f>
        <v/>
      </c>
      <c r="J31" s="121">
        <f>IF($B31="","",D10)</f>
        <v/>
      </c>
      <c r="K31" s="122">
        <f>IF($B31="","",IF(N(J31)&gt;0,I31/J31,0))</f>
        <v/>
      </c>
      <c r="L31" s="131">
        <f>IF($B31="","",SUMIFS(tblMovimenti[Costo stoccaggio],tblMovimenti[Magazzino],$B31))</f>
        <v/>
      </c>
      <c r="M31" s="131">
        <f>IF($B31="","",SUMIFS(tblMovimenti[Costo movimentazione],tblMovimenti[Magazzino],$B31))</f>
        <v/>
      </c>
      <c r="N31" s="121">
        <f>IF($B31="","",COUNTIFS(tblMovimenti[Magazzino],$B31,tblMovimenti[Stato],"&lt;&gt;OK"))</f>
        <v/>
      </c>
    </row>
    <row r="32" spans="2:14" x14ac:dyDescent="0.25">
      <c r="B32" s="128">
        <f>IF(B11="","",B11)</f>
        <v/>
      </c>
      <c r="C32" s="128">
        <f>IF(B11="","",C11)</f>
        <v/>
      </c>
      <c r="D32" s="121">
        <f>IF($B32="","",COUNTIFS(tblMovimenti[Magazzino],$B32))</f>
        <v/>
      </c>
      <c r="E32" s="121">
        <f>IF($B32="","",SUMIFS(tblMovimenti[Ricevuti],tblMovimenti[Magazzino],$B32))</f>
        <v/>
      </c>
      <c r="F32" s="121">
        <f>IF($B32="","",SUMIFS(tblMovimenti[Spediti],tblMovimenti[Magazzino],$B32))</f>
        <v/>
      </c>
      <c r="G32" s="121">
        <f>IF($B32="","",SUMIFS(tblMovimenti[Danneggiati],tblMovimenti[Magazzino],$B32))</f>
        <v/>
      </c>
      <c r="H32" s="122">
        <f>IF($B32="","",IF(E32&gt;0,G32/E32,0))</f>
        <v/>
      </c>
      <c r="I32" s="121">
        <f>IF($B32="","",E11+E32-F32-G32)</f>
        <v/>
      </c>
      <c r="J32" s="121">
        <f>IF($B32="","",D11)</f>
        <v/>
      </c>
      <c r="K32" s="122">
        <f>IF($B32="","",IF(N(J32)&gt;0,I32/J32,0))</f>
        <v/>
      </c>
      <c r="L32" s="131">
        <f>IF($B32="","",SUMIFS(tblMovimenti[Costo stoccaggio],tblMovimenti[Magazzino],$B32))</f>
        <v/>
      </c>
      <c r="M32" s="131">
        <f>IF($B32="","",SUMIFS(tblMovimenti[Costo movimentazione],tblMovimenti[Magazzino],$B32))</f>
        <v/>
      </c>
      <c r="N32" s="121">
        <f>IF($B32="","",COUNTIFS(tblMovimenti[Magazzino],$B32,tblMovimenti[Stato],"&lt;&gt;OK"))</f>
        <v/>
      </c>
    </row>
    <row r="33" spans="2:14" x14ac:dyDescent="0.25">
      <c r="B33" s="132" t="s">
        <v>16</v>
      </c>
      <c r="C33" s="133"/>
      <c r="D33" s="134">
        <f>SUM(D28:D32)</f>
        <v>0</v>
      </c>
      <c r="E33" s="134">
        <f>SUM(E28:E32)</f>
        <v>0</v>
      </c>
      <c r="F33" s="134">
        <f>SUM(F28:F32)</f>
        <v>0</v>
      </c>
      <c r="G33" s="134">
        <f>SUM(G28:G32)</f>
        <v>0</v>
      </c>
      <c r="H33" s="135">
        <f>IF(E33&gt;0,G33/E33,0)</f>
        <v>0</v>
      </c>
      <c r="I33" s="134">
        <f>SUM(I28:I32)</f>
        <v>0</v>
      </c>
      <c r="J33" s="134">
        <f>SUM(J28:J32)</f>
        <v>0</v>
      </c>
      <c r="K33" s="135">
        <f>IF(J33&gt;0,I33/J33,0)</f>
        <v>0</v>
      </c>
      <c r="L33" s="136">
        <f>SUM(L28:L32)</f>
        <v>0</v>
      </c>
      <c r="M33" s="136">
        <f>SUM(M28:M32)</f>
        <v>0</v>
      </c>
      <c r="N33" s="134">
        <f>SUM(N28:N32)</f>
        <v>0</v>
      </c>
    </row>
    <row r="35" spans="2:14" ht="19.5" customHeight="1" x14ac:dyDescent="0.25">
      <c r="B35" s="123" t="s">
        <v>33</v>
      </c>
    </row>
    <row r="36" spans="2:14" ht="25.5" customHeight="1" x14ac:dyDescent="0.25">
      <c r="B36" s="137" t="s">
        <v>34</v>
      </c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</row>
    <row r="37" spans="2:14" ht="25.5" customHeight="1" x14ac:dyDescent="0.25">
      <c r="B37" s="137" t="s">
        <v>35</v>
      </c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</row>
    <row r="38" spans="2:14" ht="25.5" customHeight="1" x14ac:dyDescent="0.25">
      <c r="B38" s="137" t="s">
        <v>36</v>
      </c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</row>
    <row r="39" spans="2:14" ht="25.5" customHeight="1" x14ac:dyDescent="0.25">
      <c r="B39" s="137" t="s">
        <v>37</v>
      </c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</row>
    <row r="40" spans="2:14" ht="25.5" customHeight="1" x14ac:dyDescent="0.25">
      <c r="B40" s="137" t="s">
        <v>38</v>
      </c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</row>
    <row r="41" spans="2:14" ht="25.5" customHeight="1" x14ac:dyDescent="0.25">
      <c r="B41" s="137" t="s">
        <v>39</v>
      </c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</row>
    <row r="42" spans="2:14" ht="25.5" customHeight="1" x14ac:dyDescent="0.25">
      <c r="B42" s="137" t="s">
        <v>40</v>
      </c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</row>
    <row r="43" spans="2:14" x14ac:dyDescent="0.25">
      <c r="B43" s="116" t="s">
        <v>41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</row>
  </sheetData>
  <mergeCells count="11">
    <mergeCell ref="A1:I1"/>
    <mergeCell ref="A2:I2"/>
    <mergeCell ref="B24:C24"/>
    <mergeCell ref="B36:N36"/>
    <mergeCell ref="B37:N37"/>
    <mergeCell ref="B38:N38"/>
    <mergeCell ref="B39:N39"/>
    <mergeCell ref="B40:N40"/>
    <mergeCell ref="B41:N41"/>
    <mergeCell ref="B42:N42"/>
    <mergeCell ref="B43:N43"/>
  </mergeCells>
  <conditionalFormatting sqref="K28:K32">
    <cfRule type="dataBar" priority="1">
      <dataBar>
        <cfvo type="num" val="0"/>
        <cfvo type="num" val="1"/>
        <color rgb="FF8CC37A"/>
      </dataBar>
      <extLst>
        <ext xmlns:x14="http://schemas.microsoft.com/office/spreadsheetml/2009/9/main" uri="{B025F937-C7B1-47D3-B67F-A62EFF666E3E}">
          <x14:id>{DA7ABA51-AAAA-BBBB-0004-000000000001}</x14:id>
        </ext>
      </extLst>
    </cfRule>
  </conditionalFormatting>
  <dataValidations count="3">
    <dataValidation type="whole" operator="greaterThan" allowBlank="1" showInputMessage="1" showErrorMessage="1" errorTitle="Valore non valido" error="Inserisci un numero intero maggiore di zero." sqref="D7:D11">
      <formula1>0</formula1>
    </dataValidation>
    <dataValidation type="whole" operator="greaterThanOrEqual" allowBlank="1" showInputMessage="1" showErrorMessage="1" errorTitle="Valore non valido" error="Inserisci un numero intero ≥ 0." sqref="C16:H20">
      <formula1>0</formula1>
    </dataValidation>
    <dataValidation type="date" operator="greaterThan" allowBlank="1" showInputMessage="1" showErrorMessage="1" errorTitle="Data non valida" error="Inserisci una data valida." promptTitle="Mese iniziale" prompt="Es. 01/01/2026. La dashboard copre 6 mesi da questa data." sqref="D24">
      <formula1>36526</formula1>
    </dataValidation>
  </dataValidations>
  <hyperlinks>
    <hyperlink ref="J1" location="'Dashboard'!A1" tooltip="Vai al foglio Dashboard" display="◄ Dashboard"/>
    <hyperlink ref="K1" location="'Dati Magazzino'!A1" tooltip="Vai al foglio Dati Magazzino" display="Dati"/>
    <hyperlink ref="L1" location="'Anagrafica Prodotti'!A1" tooltip="Vai al foglio Anagrafica Prodotti" display="Prodotti"/>
    <hyperlink ref="M1" location="'Riepilogo Magazzini'!A1" tooltip="Vai al foglio Riepilogo Magazzini" display="Riepilogo"/>
  </hyperlinks>
  <pageMargins left="0.3" right="0.3" top="0.4" bottom="0.4" header="0.3" footer="0.3"/>
  <pageSetup paperSize="9"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4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8CC37A"/>
              <x14:negativeFillColor rgb="FFFF0000"/>
              <x14:negativeBorderColor rgb="FFFF0000"/>
              <x14:axisColor rgb="FF000000"/>
            </x14:dataBar>
          </x14:cfRule>
          <xm:sqref>K28:K32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8A4B5"/>
  </sheetPr>
  <dimension ref="A1:V99"/>
  <sheetViews>
    <sheetView workbookViewId="0"/>
  </sheetViews>
  <sheetFormatPr defaultRowHeight="15"/>
  <cols>
    <col min="1" max="1" width="30.7109375" customWidth="1"/>
    <col min="2" max="17" width="13.7109375" customWidth="1"/>
    <col min="18" max="22" width="14.7109375" customWidth="1"/>
  </cols>
  <sheetData>
    <row r="1" spans="1:22">
      <c r="A1" s="138" t="s">
        <v>65</v>
      </c>
    </row>
    <row r="2" spans="1:22">
      <c r="R2" s="139" t="s">
        <v>122</v>
      </c>
    </row>
    <row r="3" spans="1:22">
      <c r="A3" s="139" t="s">
        <v>66</v>
      </c>
      <c r="R3" s="140" t="s">
        <v>123</v>
      </c>
      <c r="S3" s="140" t="s">
        <v>124</v>
      </c>
      <c r="T3" s="140" t="s">
        <v>123</v>
      </c>
      <c r="U3" s="140" t="s">
        <v>124</v>
      </c>
      <c r="V3" s="140" t="s">
        <v>123</v>
      </c>
    </row>
    <row r="4" spans="1:22">
      <c r="A4" s="141" t="s">
        <v>67</v>
      </c>
      <c r="B4" s="140" t="str">
        <f>IF(TRIM(F_WH&amp;"")="","Tutti",F_WH)</f>
        <v>Tutti</v>
      </c>
      <c r="R4" s="140">
        <f>IF(INDEX(WH_Code,1)="","",INDEX(WH_Code,1))</f>
        <v/>
      </c>
      <c r="S4" s="140">
        <f>IF(INDEX(WH_City,1)="","",INDEX(WH_City,1))</f>
        <v/>
      </c>
      <c r="T4" s="140" t="str">
        <f>C15</f>
        <v>Lug-26</v>
      </c>
      <c r="U4" s="140">
        <f>IF(INDEX(Cat_List,1)="","",INDEX(Cat_List,1))</f>
        <v/>
      </c>
      <c r="V4" s="140" t="s">
        <v>55</v>
      </c>
    </row>
    <row r="5" spans="1:22">
      <c r="A5" s="141" t="s">
        <v>68</v>
      </c>
      <c r="B5" s="140" t="str">
        <f>IF(TRIM(F_City&amp;"")="","Tutte",F_City)</f>
        <v>Tutte</v>
      </c>
      <c r="R5" s="140">
        <f>IF(INDEX(WH_Code,2)="","",INDEX(WH_Code,2))</f>
        <v/>
      </c>
      <c r="S5" s="140">
        <f>IF(INDEX(WH_City,2)="","",INDEX(WH_City,2))</f>
        <v/>
      </c>
      <c r="T5" s="140" t="str">
        <f>C16</f>
        <v>Ago-26</v>
      </c>
      <c r="U5" s="140">
        <f>IF(INDEX(Cat_List,2)="","",INDEX(Cat_List,2))</f>
        <v/>
      </c>
      <c r="V5" s="140" t="s">
        <v>56</v>
      </c>
    </row>
    <row r="6" spans="1:22">
      <c r="A6" s="141" t="s">
        <v>69</v>
      </c>
      <c r="B6" s="140" t="str">
        <f>IF(TRIM(F_Month&amp;"")="","Tutti",F_Month)</f>
        <v>Tutti</v>
      </c>
      <c r="R6" s="140">
        <f>IF(INDEX(WH_Code,3)="","",INDEX(WH_Code,3))</f>
        <v/>
      </c>
      <c r="S6" s="140">
        <f>IF(INDEX(WH_City,3)="","",INDEX(WH_City,3))</f>
        <v/>
      </c>
      <c r="T6" s="140" t="str">
        <f>C17</f>
        <v>Set-26</v>
      </c>
      <c r="U6" s="140">
        <f>IF(INDEX(Cat_List,3)="","",INDEX(Cat_List,3))</f>
        <v/>
      </c>
      <c r="V6" s="140" t="s">
        <v>57</v>
      </c>
    </row>
    <row r="7" spans="1:22">
      <c r="A7" s="141" t="s">
        <v>70</v>
      </c>
      <c r="B7" s="140" t="str">
        <f>IF(TRIM(F_Cat&amp;"")="","Tutte",F_Cat)</f>
        <v>Tutte</v>
      </c>
      <c r="R7" s="140">
        <f>IF(INDEX(WH_Code,4)="","",INDEX(WH_Code,4))</f>
        <v/>
      </c>
      <c r="S7" s="140">
        <f>IF(INDEX(WH_City,4)="","",INDEX(WH_City,4))</f>
        <v/>
      </c>
      <c r="T7" s="140" t="str">
        <f>C18</f>
        <v>Ott-26</v>
      </c>
      <c r="U7" s="140">
        <f>IF(INDEX(Cat_List,4)="","",INDEX(Cat_List,4))</f>
        <v/>
      </c>
      <c r="V7" s="140" t="s">
        <v>125</v>
      </c>
    </row>
    <row r="8" spans="1:22">
      <c r="A8" s="141" t="s">
        <v>71</v>
      </c>
      <c r="B8" s="140" t="str">
        <f>IF(TRIM(F_Status&amp;"")="","Tutti",F_Status)</f>
        <v>Tutti</v>
      </c>
      <c r="R8" s="140">
        <f>IF(INDEX(WH_Code,5)="","",INDEX(WH_Code,5))</f>
        <v/>
      </c>
      <c r="S8" s="140">
        <f>IF(INDEX(WH_City,5)="","",INDEX(WH_City,5))</f>
        <v/>
      </c>
      <c r="T8" s="140" t="str">
        <f>C19</f>
        <v>Nov-26</v>
      </c>
      <c r="U8" s="140">
        <f>IF(INDEX(Cat_List,5)="","",INDEX(Cat_List,5))</f>
        <v/>
      </c>
    </row>
    <row r="9" spans="1:22">
      <c r="A9" s="141" t="s">
        <v>72</v>
      </c>
      <c r="B9" s="142">
        <f>IF(ISNUMBER(Thr_Stock),Thr_Stock,1000)</f>
        <v>1000</v>
      </c>
      <c r="T9" s="140" t="str">
        <f>C20</f>
        <v>Dic-26</v>
      </c>
      <c r="U9" s="140">
        <f>IF(INDEX(Cat_List,6)="","",INDEX(Cat_List,6))</f>
        <v/>
      </c>
    </row>
    <row r="10" spans="1:22">
      <c r="A10" s="141" t="s">
        <v>73</v>
      </c>
      <c r="B10" s="142">
        <f>IF(ISNUMBER(Thr_Dmg),Thr_Dmg,10)</f>
        <v>10</v>
      </c>
    </row>
    <row r="11" spans="1:22">
      <c r="A11" s="141" t="s">
        <v>74</v>
      </c>
      <c r="B11" s="143">
        <f>IF(ISNUMBER(Thr_Util),Thr_Util,0.8)</f>
        <v>0.8</v>
      </c>
    </row>
    <row r="13" spans="1:22">
      <c r="A13" s="139" t="s">
        <v>75</v>
      </c>
    </row>
    <row r="14" spans="1:22">
      <c r="A14" s="103" t="s">
        <v>76</v>
      </c>
      <c r="B14" s="103" t="s">
        <v>59</v>
      </c>
      <c r="C14" s="103" t="s">
        <v>77</v>
      </c>
      <c r="D14" s="103" t="s">
        <v>78</v>
      </c>
    </row>
    <row r="15" spans="1:22">
      <c r="A15" s="142">
        <v>1</v>
      </c>
      <c r="B15" s="144">
        <f>DATE(YEAR(Period_Start),MONTH(Period_Start)+0,1)</f>
        <v>46204.0</v>
      </c>
      <c r="C15" s="140" t="str">
        <f>CHOOSE(MONTH(B15),"Gen","Feb","Mar","Apr","Mag","Giu","Lug","Ago","Set","Ott","Nov","Dic")&amp;"-"&amp;RIGHT(YEAR(B15),2)</f>
        <v>Lug-26</v>
      </c>
      <c r="D15" s="144">
        <f>EOMONTH(B15,0)</f>
        <v>46234.0</v>
      </c>
    </row>
    <row r="16" spans="1:22">
      <c r="A16" s="142">
        <v>2</v>
      </c>
      <c r="B16" s="144">
        <f>DATE(YEAR(Period_Start),MONTH(Period_Start)+1,1)</f>
        <v>46235.0</v>
      </c>
      <c r="C16" s="140" t="str">
        <f>CHOOSE(MONTH(B16),"Gen","Feb","Mar","Apr","Mag","Giu","Lug","Ago","Set","Ott","Nov","Dic")&amp;"-"&amp;RIGHT(YEAR(B16),2)</f>
        <v>Ago-26</v>
      </c>
      <c r="D16" s="144">
        <f>EOMONTH(B16,0)</f>
        <v>46265.0</v>
      </c>
    </row>
    <row r="17" spans="1:4">
      <c r="A17" s="142">
        <v>3</v>
      </c>
      <c r="B17" s="144">
        <f>DATE(YEAR(Period_Start),MONTH(Period_Start)+2,1)</f>
        <v>46266.0</v>
      </c>
      <c r="C17" s="140" t="str">
        <f>CHOOSE(MONTH(B17),"Gen","Feb","Mar","Apr","Mag","Giu","Lug","Ago","Set","Ott","Nov","Dic")&amp;"-"&amp;RIGHT(YEAR(B17),2)</f>
        <v>Set-26</v>
      </c>
      <c r="D17" s="144">
        <f>EOMONTH(B17,0)</f>
        <v>46295.0</v>
      </c>
    </row>
    <row r="18" spans="1:4">
      <c r="A18" s="142">
        <v>4</v>
      </c>
      <c r="B18" s="144">
        <f>DATE(YEAR(Period_Start),MONTH(Period_Start)+3,1)</f>
        <v>46296.0</v>
      </c>
      <c r="C18" s="140" t="str">
        <f>CHOOSE(MONTH(B18),"Gen","Feb","Mar","Apr","Mag","Giu","Lug","Ago","Set","Ott","Nov","Dic")&amp;"-"&amp;RIGHT(YEAR(B18),2)</f>
        <v>Ott-26</v>
      </c>
      <c r="D18" s="144">
        <f>EOMONTH(B18,0)</f>
        <v>46326.0</v>
      </c>
    </row>
    <row r="19" spans="1:4">
      <c r="A19" s="142">
        <v>5</v>
      </c>
      <c r="B19" s="144">
        <f>DATE(YEAR(Period_Start),MONTH(Period_Start)+4,1)</f>
        <v>46327.0</v>
      </c>
      <c r="C19" s="140" t="str">
        <f>CHOOSE(MONTH(B19),"Gen","Feb","Mar","Apr","Mag","Giu","Lug","Ago","Set","Ott","Nov","Dic")&amp;"-"&amp;RIGHT(YEAR(B19),2)</f>
        <v>Nov-26</v>
      </c>
      <c r="D19" s="144">
        <f>EOMONTH(B19,0)</f>
        <v>46356.0</v>
      </c>
    </row>
    <row r="20" spans="1:4">
      <c r="A20" s="142">
        <v>6</v>
      </c>
      <c r="B20" s="144">
        <f>DATE(YEAR(Period_Start),MONTH(Period_Start)+5,1)</f>
        <v>46357.0</v>
      </c>
      <c r="C20" s="140" t="str">
        <f>CHOOSE(MONTH(B20),"Gen","Feb","Mar","Apr","Mag","Giu","Lug","Ago","Set","Ott","Nov","Dic")&amp;"-"&amp;RIGHT(YEAR(B20),2)</f>
        <v>Dic-26</v>
      </c>
      <c r="D20" s="144">
        <f>EOMONTH(B20,0)</f>
        <v>46387.0</v>
      </c>
    </row>
    <row r="22" spans="1:4">
      <c r="A22" s="141" t="s">
        <v>79</v>
      </c>
      <c r="B22" s="142">
        <f>IF(N_Month="Tutti",0,IFERROR(MATCH(N_Month,Month_Labels,0),0))</f>
        <v>0</v>
      </c>
    </row>
    <row r="23" spans="1:4">
      <c r="A23" s="141" t="s">
        <v>80</v>
      </c>
      <c r="B23" s="142">
        <f>IF(B22=0,1,B22)</f>
        <v>1</v>
      </c>
    </row>
    <row r="24" spans="1:4">
      <c r="A24" s="141" t="s">
        <v>81</v>
      </c>
      <c r="B24" s="142">
        <f>IF(B22=0,6,B22)</f>
        <v>6</v>
      </c>
    </row>
    <row r="25" spans="1:4">
      <c r="A25" s="141" t="s">
        <v>82</v>
      </c>
      <c r="B25" s="144">
        <f>INDEX($D$15:$D$20,B24)</f>
        <v>46387.0</v>
      </c>
    </row>
    <row r="26" spans="1:4">
      <c r="A26" s="141" t="s">
        <v>83</v>
      </c>
      <c r="B26" s="142">
        <f>IF(B22&gt;0,B22,IF(SUM($F$55:$F$60)=0,6,SUMPRODUCT(MAX(($F$55:$F$60&gt;0)*$A$55:$A$60))))</f>
        <v>6</v>
      </c>
    </row>
    <row r="27" spans="1:4">
      <c r="A27" s="141" t="s">
        <v>84</v>
      </c>
      <c r="B27" s="144">
        <f>INDEX(Month_Starts,B26)</f>
        <v>46357.0</v>
      </c>
    </row>
    <row r="28" spans="1:4">
      <c r="A28" s="141" t="s">
        <v>85</v>
      </c>
      <c r="B28" s="144">
        <f>EDATE(B27,-1)</f>
        <v>46327.0</v>
      </c>
    </row>
    <row r="29" spans="1:4">
      <c r="A29" s="141" t="s">
        <v>86</v>
      </c>
      <c r="B29" s="144">
        <f>EOMONTH(B27,0)</f>
        <v>46387.0</v>
      </c>
    </row>
    <row r="30" spans="1:4">
      <c r="A30" s="141" t="s">
        <v>87</v>
      </c>
      <c r="B30" s="144">
        <f>EOMONTH(B28,0)</f>
        <v>46356.0</v>
      </c>
    </row>
    <row r="31" spans="1:4">
      <c r="A31" s="141" t="s">
        <v>88</v>
      </c>
      <c r="B31" s="140" t="str">
        <f>CHOOSE(MONTH(B27),"Gen","Feb","Mar","Apr","Mag","Giu","Lug","Ago","Set","Ott","Nov","Dic")&amp;"-"&amp;RIGHT(YEAR(B27),2)</f>
        <v>Dic-26</v>
      </c>
    </row>
    <row r="32" spans="1:4">
      <c r="A32" s="141" t="s">
        <v>89</v>
      </c>
      <c r="B32" s="140" t="str">
        <f>CHOOSE(MONTH(B28),"Gen","Feb","Mar","Apr","Mag","Giu","Lug","Ago","Set","Ott","Nov","Dic")&amp;"-"&amp;RIGHT(YEAR(B28),2)</f>
        <v>Nov-26</v>
      </c>
    </row>
    <row r="34" spans="1:15">
      <c r="A34" s="139" t="s">
        <v>90</v>
      </c>
    </row>
    <row r="35" spans="1:15">
      <c r="A35" s="103" t="s">
        <v>9</v>
      </c>
      <c r="B35" s="103" t="s">
        <v>10</v>
      </c>
      <c r="C35" s="103" t="s">
        <v>91</v>
      </c>
      <c r="D35" s="103" t="s">
        <v>22</v>
      </c>
      <c r="E35" s="103" t="s">
        <v>23</v>
      </c>
      <c r="F35" s="103" t="s">
        <v>24</v>
      </c>
      <c r="G35" s="103" t="s">
        <v>25</v>
      </c>
      <c r="H35" s="103" t="s">
        <v>92</v>
      </c>
      <c r="I35" s="103" t="s">
        <v>93</v>
      </c>
      <c r="J35" s="103" t="s">
        <v>28</v>
      </c>
      <c r="K35" s="103" t="s">
        <v>29</v>
      </c>
      <c r="L35" s="103" t="s">
        <v>30</v>
      </c>
      <c r="M35" s="103" t="s">
        <v>31</v>
      </c>
      <c r="N35" s="103" t="s">
        <v>94</v>
      </c>
      <c r="O35" s="103" t="s">
        <v>95</v>
      </c>
    </row>
    <row r="36" spans="1:15">
      <c r="A36" s="140">
        <f>IF(INDEX(WH_Code,1)="","",INDEX(WH_Code,1))</f>
        <v/>
      </c>
      <c r="B36" s="140">
        <f>IF(INDEX(WH_Code,1)="","",INDEX(WH_City,1)&amp;"")</f>
        <v/>
      </c>
      <c r="C36" s="142">
        <f>--AND(A36&lt;&gt;"",OR(N_WH="Tutti",A36=N_WH),OR(N_City="Tutte",B36=N_City))</f>
        <v>0</v>
      </c>
      <c r="D36" s="142">
        <f>COUNTIFS(tblMovimenti[Magazzino],$A36,tblMovimenti[Filtro flussi],1,tblMovimenti[Indice mese],"&gt;="&amp;$B$23,tblMovimenti[Indice mese],"&lt;="&amp;$B$24)</f>
        <v>0</v>
      </c>
      <c r="E36" s="142">
        <f>SUMIFS(tblMovimenti[Ricevuti],tblMovimenti[Magazzino],$A36,tblMovimenti[Filtro flussi],1,tblMovimenti[Indice mese],"&gt;="&amp;$B$23,tblMovimenti[Indice mese],"&lt;="&amp;$B$24)</f>
        <v>0</v>
      </c>
      <c r="F36" s="142">
        <f>SUMIFS(tblMovimenti[Spediti],tblMovimenti[Magazzino],$A36,tblMovimenti[Filtro flussi],1,tblMovimenti[Indice mese],"&gt;="&amp;$B$23,tblMovimenti[Indice mese],"&lt;="&amp;$B$24)</f>
        <v>0</v>
      </c>
      <c r="G36" s="142">
        <f>SUMIFS(tblMovimenti[Danneggiati],tblMovimenti[Magazzino],$A36,tblMovimenti[Filtro flussi],1,tblMovimenti[Indice mese],"&gt;="&amp;$B$23,tblMovimenti[Indice mese],"&lt;="&amp;$B$24)</f>
        <v>0</v>
      </c>
      <c r="H36" s="142">
        <f>C36*IF(N_Cat="Tutte",SUM(INDEX(Open_Matrix,1,0)),IFERROR(INDEX(Open_Matrix,1,MATCH(N_Cat,Cat_List,0)),0))</f>
        <v>0</v>
      </c>
      <c r="I36" s="142">
        <f>IF(C36=1,H36+SUMIFS(tblMovimenti[Ricevuti],tblMovimenti[Magazzino],$A36,tblMovimenti[Filtro giacenza],1,tblMovimenti[Data],"&lt;="&amp;$B$25)-SUMIFS(tblMovimenti[Spediti],tblMovimenti[Magazzino],$A36,tblMovimenti[Filtro giacenza],1,tblMovimenti[Data],"&lt;="&amp;$B$25)-SUMIFS(tblMovimenti[Danneggiati],tblMovimenti[Magazzino],$A36,tblMovimenti[Filtro giacenza],1,tblMovimenti[Data],"&lt;="&amp;$B$25),0)</f>
        <v>0</v>
      </c>
      <c r="J36" s="142">
        <f>C36*INDEX(WH_Cap,1)</f>
        <v>0</v>
      </c>
      <c r="K36" s="143">
        <f>IF(J36&gt;0,I36/J36,0)</f>
        <v>0</v>
      </c>
      <c r="L36" s="142">
        <f>SUMIFS(tblMovimenti[Costo stoccaggio],tblMovimenti[Magazzino],$A36,tblMovimenti[Filtro flussi],1,tblMovimenti[Indice mese],"&gt;="&amp;$B$23,tblMovimenti[Indice mese],"&lt;="&amp;$B$24)</f>
        <v>0</v>
      </c>
      <c r="M36" s="142">
        <f>SUMIFS(tblMovimenti[Costo movimentazione],tblMovimenti[Magazzino],$A36,tblMovimenti[Filtro flussi],1,tblMovimenti[Indice mese],"&gt;="&amp;$B$23,tblMovimenti[Indice mese],"&lt;="&amp;$B$24)</f>
        <v>0</v>
      </c>
      <c r="N36" s="142">
        <f>IF(C36=1,H36+SUMIFS(tblMovimenti[Ricevuti],tblMovimenti[Magazzino],$A36,tblMovimenti[Filtro giacenza],1,tblMovimenti[Data],"&lt;="&amp;$B$29)-SUMIFS(tblMovimenti[Spediti],tblMovimenti[Magazzino],$A36,tblMovimenti[Filtro giacenza],1,tblMovimenti[Data],"&lt;="&amp;$B$29)-SUMIFS(tblMovimenti[Danneggiati],tblMovimenti[Magazzino],$A36,tblMovimenti[Filtro giacenza],1,tblMovimenti[Data],"&lt;="&amp;$B$29),0)</f>
        <v>0</v>
      </c>
      <c r="O36" s="142">
        <f>IF(C36=1,H36+SUMIFS(tblMovimenti[Ricevuti],tblMovimenti[Magazzino],$A36,tblMovimenti[Filtro giacenza],1,tblMovimenti[Data],"&lt;="&amp;$B$30)-SUMIFS(tblMovimenti[Spediti],tblMovimenti[Magazzino],$A36,tblMovimenti[Filtro giacenza],1,tblMovimenti[Data],"&lt;="&amp;$B$30)-SUMIFS(tblMovimenti[Danneggiati],tblMovimenti[Magazzino],$A36,tblMovimenti[Filtro giacenza],1,tblMovimenti[Data],"&lt;="&amp;$B$30),0)</f>
        <v>0</v>
      </c>
    </row>
    <row r="37" spans="1:15">
      <c r="A37" s="140">
        <f>IF(INDEX(WH_Code,2)="","",INDEX(WH_Code,2))</f>
        <v/>
      </c>
      <c r="B37" s="140">
        <f>IF(INDEX(WH_Code,2)="","",INDEX(WH_City,2)&amp;"")</f>
        <v/>
      </c>
      <c r="C37" s="142">
        <f>--AND(A37&lt;&gt;"",OR(N_WH="Tutti",A37=N_WH),OR(N_City="Tutte",B37=N_City))</f>
        <v>0</v>
      </c>
      <c r="D37" s="142">
        <f>COUNTIFS(tblMovimenti[Magazzino],$A37,tblMovimenti[Filtro flussi],1,tblMovimenti[Indice mese],"&gt;="&amp;$B$23,tblMovimenti[Indice mese],"&lt;="&amp;$B$24)</f>
        <v>0</v>
      </c>
      <c r="E37" s="142">
        <f>SUMIFS(tblMovimenti[Ricevuti],tblMovimenti[Magazzino],$A37,tblMovimenti[Filtro flussi],1,tblMovimenti[Indice mese],"&gt;="&amp;$B$23,tblMovimenti[Indice mese],"&lt;="&amp;$B$24)</f>
        <v>0</v>
      </c>
      <c r="F37" s="142">
        <f>SUMIFS(tblMovimenti[Spediti],tblMovimenti[Magazzino],$A37,tblMovimenti[Filtro flussi],1,tblMovimenti[Indice mese],"&gt;="&amp;$B$23,tblMovimenti[Indice mese],"&lt;="&amp;$B$24)</f>
        <v>0</v>
      </c>
      <c r="G37" s="142">
        <f>SUMIFS(tblMovimenti[Danneggiati],tblMovimenti[Magazzino],$A37,tblMovimenti[Filtro flussi],1,tblMovimenti[Indice mese],"&gt;="&amp;$B$23,tblMovimenti[Indice mese],"&lt;="&amp;$B$24)</f>
        <v>0</v>
      </c>
      <c r="H37" s="142">
        <f>C37*IF(N_Cat="Tutte",SUM(INDEX(Open_Matrix,2,0)),IFERROR(INDEX(Open_Matrix,2,MATCH(N_Cat,Cat_List,0)),0))</f>
        <v>0</v>
      </c>
      <c r="I37" s="142">
        <f>IF(C37=1,H37+SUMIFS(tblMovimenti[Ricevuti],tblMovimenti[Magazzino],$A37,tblMovimenti[Filtro giacenza],1,tblMovimenti[Data],"&lt;="&amp;$B$25)-SUMIFS(tblMovimenti[Spediti],tblMovimenti[Magazzino],$A37,tblMovimenti[Filtro giacenza],1,tblMovimenti[Data],"&lt;="&amp;$B$25)-SUMIFS(tblMovimenti[Danneggiati],tblMovimenti[Magazzino],$A37,tblMovimenti[Filtro giacenza],1,tblMovimenti[Data],"&lt;="&amp;$B$25),0)</f>
        <v>0</v>
      </c>
      <c r="J37" s="142">
        <f>C37*INDEX(WH_Cap,2)</f>
        <v>0</v>
      </c>
      <c r="K37" s="143">
        <f>IF(J37&gt;0,I37/J37,0)</f>
        <v>0</v>
      </c>
      <c r="L37" s="142">
        <f>SUMIFS(tblMovimenti[Costo stoccaggio],tblMovimenti[Magazzino],$A37,tblMovimenti[Filtro flussi],1,tblMovimenti[Indice mese],"&gt;="&amp;$B$23,tblMovimenti[Indice mese],"&lt;="&amp;$B$24)</f>
        <v>0</v>
      </c>
      <c r="M37" s="142">
        <f>SUMIFS(tblMovimenti[Costo movimentazione],tblMovimenti[Magazzino],$A37,tblMovimenti[Filtro flussi],1,tblMovimenti[Indice mese],"&gt;="&amp;$B$23,tblMovimenti[Indice mese],"&lt;="&amp;$B$24)</f>
        <v>0</v>
      </c>
      <c r="N37" s="142">
        <f>IF(C37=1,H37+SUMIFS(tblMovimenti[Ricevuti],tblMovimenti[Magazzino],$A37,tblMovimenti[Filtro giacenza],1,tblMovimenti[Data],"&lt;="&amp;$B$29)-SUMIFS(tblMovimenti[Spediti],tblMovimenti[Magazzino],$A37,tblMovimenti[Filtro giacenza],1,tblMovimenti[Data],"&lt;="&amp;$B$29)-SUMIFS(tblMovimenti[Danneggiati],tblMovimenti[Magazzino],$A37,tblMovimenti[Filtro giacenza],1,tblMovimenti[Data],"&lt;="&amp;$B$29),0)</f>
        <v>0</v>
      </c>
      <c r="O37" s="142">
        <f>IF(C37=1,H37+SUMIFS(tblMovimenti[Ricevuti],tblMovimenti[Magazzino],$A37,tblMovimenti[Filtro giacenza],1,tblMovimenti[Data],"&lt;="&amp;$B$30)-SUMIFS(tblMovimenti[Spediti],tblMovimenti[Magazzino],$A37,tblMovimenti[Filtro giacenza],1,tblMovimenti[Data],"&lt;="&amp;$B$30)-SUMIFS(tblMovimenti[Danneggiati],tblMovimenti[Magazzino],$A37,tblMovimenti[Filtro giacenza],1,tblMovimenti[Data],"&lt;="&amp;$B$30),0)</f>
        <v>0</v>
      </c>
    </row>
    <row r="38" spans="1:15">
      <c r="A38" s="140">
        <f>IF(INDEX(WH_Code,3)="","",INDEX(WH_Code,3))</f>
        <v/>
      </c>
      <c r="B38" s="140">
        <f>IF(INDEX(WH_Code,3)="","",INDEX(WH_City,3)&amp;"")</f>
        <v/>
      </c>
      <c r="C38" s="142">
        <f>--AND(A38&lt;&gt;"",OR(N_WH="Tutti",A38=N_WH),OR(N_City="Tutte",B38=N_City))</f>
        <v>0</v>
      </c>
      <c r="D38" s="142">
        <f>COUNTIFS(tblMovimenti[Magazzino],$A38,tblMovimenti[Filtro flussi],1,tblMovimenti[Indice mese],"&gt;="&amp;$B$23,tblMovimenti[Indice mese],"&lt;="&amp;$B$24)</f>
        <v>0</v>
      </c>
      <c r="E38" s="142">
        <f>SUMIFS(tblMovimenti[Ricevuti],tblMovimenti[Magazzino],$A38,tblMovimenti[Filtro flussi],1,tblMovimenti[Indice mese],"&gt;="&amp;$B$23,tblMovimenti[Indice mese],"&lt;="&amp;$B$24)</f>
        <v>0</v>
      </c>
      <c r="F38" s="142">
        <f>SUMIFS(tblMovimenti[Spediti],tblMovimenti[Magazzino],$A38,tblMovimenti[Filtro flussi],1,tblMovimenti[Indice mese],"&gt;="&amp;$B$23,tblMovimenti[Indice mese],"&lt;="&amp;$B$24)</f>
        <v>0</v>
      </c>
      <c r="G38" s="142">
        <f>SUMIFS(tblMovimenti[Danneggiati],tblMovimenti[Magazzino],$A38,tblMovimenti[Filtro flussi],1,tblMovimenti[Indice mese],"&gt;="&amp;$B$23,tblMovimenti[Indice mese],"&lt;="&amp;$B$24)</f>
        <v>0</v>
      </c>
      <c r="H38" s="142">
        <f>C38*IF(N_Cat="Tutte",SUM(INDEX(Open_Matrix,3,0)),IFERROR(INDEX(Open_Matrix,3,MATCH(N_Cat,Cat_List,0)),0))</f>
        <v>0</v>
      </c>
      <c r="I38" s="142">
        <f>IF(C38=1,H38+SUMIFS(tblMovimenti[Ricevuti],tblMovimenti[Magazzino],$A38,tblMovimenti[Filtro giacenza],1,tblMovimenti[Data],"&lt;="&amp;$B$25)-SUMIFS(tblMovimenti[Spediti],tblMovimenti[Magazzino],$A38,tblMovimenti[Filtro giacenza],1,tblMovimenti[Data],"&lt;="&amp;$B$25)-SUMIFS(tblMovimenti[Danneggiati],tblMovimenti[Magazzino],$A38,tblMovimenti[Filtro giacenza],1,tblMovimenti[Data],"&lt;="&amp;$B$25),0)</f>
        <v>0</v>
      </c>
      <c r="J38" s="142">
        <f>C38*INDEX(WH_Cap,3)</f>
        <v>0</v>
      </c>
      <c r="K38" s="143">
        <f>IF(J38&gt;0,I38/J38,0)</f>
        <v>0</v>
      </c>
      <c r="L38" s="142">
        <f>SUMIFS(tblMovimenti[Costo stoccaggio],tblMovimenti[Magazzino],$A38,tblMovimenti[Filtro flussi],1,tblMovimenti[Indice mese],"&gt;="&amp;$B$23,tblMovimenti[Indice mese],"&lt;="&amp;$B$24)</f>
        <v>0</v>
      </c>
      <c r="M38" s="142">
        <f>SUMIFS(tblMovimenti[Costo movimentazione],tblMovimenti[Magazzino],$A38,tblMovimenti[Filtro flussi],1,tblMovimenti[Indice mese],"&gt;="&amp;$B$23,tblMovimenti[Indice mese],"&lt;="&amp;$B$24)</f>
        <v>0</v>
      </c>
      <c r="N38" s="142">
        <f>IF(C38=1,H38+SUMIFS(tblMovimenti[Ricevuti],tblMovimenti[Magazzino],$A38,tblMovimenti[Filtro giacenza],1,tblMovimenti[Data],"&lt;="&amp;$B$29)-SUMIFS(tblMovimenti[Spediti],tblMovimenti[Magazzino],$A38,tblMovimenti[Filtro giacenza],1,tblMovimenti[Data],"&lt;="&amp;$B$29)-SUMIFS(tblMovimenti[Danneggiati],tblMovimenti[Magazzino],$A38,tblMovimenti[Filtro giacenza],1,tblMovimenti[Data],"&lt;="&amp;$B$29),0)</f>
        <v>0</v>
      </c>
      <c r="O38" s="142">
        <f>IF(C38=1,H38+SUMIFS(tblMovimenti[Ricevuti],tblMovimenti[Magazzino],$A38,tblMovimenti[Filtro giacenza],1,tblMovimenti[Data],"&lt;="&amp;$B$30)-SUMIFS(tblMovimenti[Spediti],tblMovimenti[Magazzino],$A38,tblMovimenti[Filtro giacenza],1,tblMovimenti[Data],"&lt;="&amp;$B$30)-SUMIFS(tblMovimenti[Danneggiati],tblMovimenti[Magazzino],$A38,tblMovimenti[Filtro giacenza],1,tblMovimenti[Data],"&lt;="&amp;$B$30),0)</f>
        <v>0</v>
      </c>
    </row>
    <row r="39" spans="1:15">
      <c r="A39" s="140">
        <f>IF(INDEX(WH_Code,4)="","",INDEX(WH_Code,4))</f>
        <v/>
      </c>
      <c r="B39" s="140">
        <f>IF(INDEX(WH_Code,4)="","",INDEX(WH_City,4)&amp;"")</f>
        <v/>
      </c>
      <c r="C39" s="142">
        <f>--AND(A39&lt;&gt;"",OR(N_WH="Tutti",A39=N_WH),OR(N_City="Tutte",B39=N_City))</f>
        <v>0</v>
      </c>
      <c r="D39" s="142">
        <f>COUNTIFS(tblMovimenti[Magazzino],$A39,tblMovimenti[Filtro flussi],1,tblMovimenti[Indice mese],"&gt;="&amp;$B$23,tblMovimenti[Indice mese],"&lt;="&amp;$B$24)</f>
        <v>0</v>
      </c>
      <c r="E39" s="142">
        <f>SUMIFS(tblMovimenti[Ricevuti],tblMovimenti[Magazzino],$A39,tblMovimenti[Filtro flussi],1,tblMovimenti[Indice mese],"&gt;="&amp;$B$23,tblMovimenti[Indice mese],"&lt;="&amp;$B$24)</f>
        <v>0</v>
      </c>
      <c r="F39" s="142">
        <f>SUMIFS(tblMovimenti[Spediti],tblMovimenti[Magazzino],$A39,tblMovimenti[Filtro flussi],1,tblMovimenti[Indice mese],"&gt;="&amp;$B$23,tblMovimenti[Indice mese],"&lt;="&amp;$B$24)</f>
        <v>0</v>
      </c>
      <c r="G39" s="142">
        <f>SUMIFS(tblMovimenti[Danneggiati],tblMovimenti[Magazzino],$A39,tblMovimenti[Filtro flussi],1,tblMovimenti[Indice mese],"&gt;="&amp;$B$23,tblMovimenti[Indice mese],"&lt;="&amp;$B$24)</f>
        <v>0</v>
      </c>
      <c r="H39" s="142">
        <f>C39*IF(N_Cat="Tutte",SUM(INDEX(Open_Matrix,4,0)),IFERROR(INDEX(Open_Matrix,4,MATCH(N_Cat,Cat_List,0)),0))</f>
        <v>0</v>
      </c>
      <c r="I39" s="142">
        <f>IF(C39=1,H39+SUMIFS(tblMovimenti[Ricevuti],tblMovimenti[Magazzino],$A39,tblMovimenti[Filtro giacenza],1,tblMovimenti[Data],"&lt;="&amp;$B$25)-SUMIFS(tblMovimenti[Spediti],tblMovimenti[Magazzino],$A39,tblMovimenti[Filtro giacenza],1,tblMovimenti[Data],"&lt;="&amp;$B$25)-SUMIFS(tblMovimenti[Danneggiati],tblMovimenti[Magazzino],$A39,tblMovimenti[Filtro giacenza],1,tblMovimenti[Data],"&lt;="&amp;$B$25),0)</f>
        <v>0</v>
      </c>
      <c r="J39" s="142">
        <f>C39*INDEX(WH_Cap,4)</f>
        <v>0</v>
      </c>
      <c r="K39" s="143">
        <f>IF(J39&gt;0,I39/J39,0)</f>
        <v>0</v>
      </c>
      <c r="L39" s="142">
        <f>SUMIFS(tblMovimenti[Costo stoccaggio],tblMovimenti[Magazzino],$A39,tblMovimenti[Filtro flussi],1,tblMovimenti[Indice mese],"&gt;="&amp;$B$23,tblMovimenti[Indice mese],"&lt;="&amp;$B$24)</f>
        <v>0</v>
      </c>
      <c r="M39" s="142">
        <f>SUMIFS(tblMovimenti[Costo movimentazione],tblMovimenti[Magazzino],$A39,tblMovimenti[Filtro flussi],1,tblMovimenti[Indice mese],"&gt;="&amp;$B$23,tblMovimenti[Indice mese],"&lt;="&amp;$B$24)</f>
        <v>0</v>
      </c>
      <c r="N39" s="142">
        <f>IF(C39=1,H39+SUMIFS(tblMovimenti[Ricevuti],tblMovimenti[Magazzino],$A39,tblMovimenti[Filtro giacenza],1,tblMovimenti[Data],"&lt;="&amp;$B$29)-SUMIFS(tblMovimenti[Spediti],tblMovimenti[Magazzino],$A39,tblMovimenti[Filtro giacenza],1,tblMovimenti[Data],"&lt;="&amp;$B$29)-SUMIFS(tblMovimenti[Danneggiati],tblMovimenti[Magazzino],$A39,tblMovimenti[Filtro giacenza],1,tblMovimenti[Data],"&lt;="&amp;$B$29),0)</f>
        <v>0</v>
      </c>
      <c r="O39" s="142">
        <f>IF(C39=1,H39+SUMIFS(tblMovimenti[Ricevuti],tblMovimenti[Magazzino],$A39,tblMovimenti[Filtro giacenza],1,tblMovimenti[Data],"&lt;="&amp;$B$30)-SUMIFS(tblMovimenti[Spediti],tblMovimenti[Magazzino],$A39,tblMovimenti[Filtro giacenza],1,tblMovimenti[Data],"&lt;="&amp;$B$30)-SUMIFS(tblMovimenti[Danneggiati],tblMovimenti[Magazzino],$A39,tblMovimenti[Filtro giacenza],1,tblMovimenti[Data],"&lt;="&amp;$B$30),0)</f>
        <v>0</v>
      </c>
    </row>
    <row r="40" spans="1:15">
      <c r="A40" s="140">
        <f>IF(INDEX(WH_Code,5)="","",INDEX(WH_Code,5))</f>
        <v/>
      </c>
      <c r="B40" s="140">
        <f>IF(INDEX(WH_Code,5)="","",INDEX(WH_City,5)&amp;"")</f>
        <v/>
      </c>
      <c r="C40" s="142">
        <f>--AND(A40&lt;&gt;"",OR(N_WH="Tutti",A40=N_WH),OR(N_City="Tutte",B40=N_City))</f>
        <v>0</v>
      </c>
      <c r="D40" s="142">
        <f>COUNTIFS(tblMovimenti[Magazzino],$A40,tblMovimenti[Filtro flussi],1,tblMovimenti[Indice mese],"&gt;="&amp;$B$23,tblMovimenti[Indice mese],"&lt;="&amp;$B$24)</f>
        <v>0</v>
      </c>
      <c r="E40" s="142">
        <f>SUMIFS(tblMovimenti[Ricevuti],tblMovimenti[Magazzino],$A40,tblMovimenti[Filtro flussi],1,tblMovimenti[Indice mese],"&gt;="&amp;$B$23,tblMovimenti[Indice mese],"&lt;="&amp;$B$24)</f>
        <v>0</v>
      </c>
      <c r="F40" s="142">
        <f>SUMIFS(tblMovimenti[Spediti],tblMovimenti[Magazzino],$A40,tblMovimenti[Filtro flussi],1,tblMovimenti[Indice mese],"&gt;="&amp;$B$23,tblMovimenti[Indice mese],"&lt;="&amp;$B$24)</f>
        <v>0</v>
      </c>
      <c r="G40" s="142">
        <f>SUMIFS(tblMovimenti[Danneggiati],tblMovimenti[Magazzino],$A40,tblMovimenti[Filtro flussi],1,tblMovimenti[Indice mese],"&gt;="&amp;$B$23,tblMovimenti[Indice mese],"&lt;="&amp;$B$24)</f>
        <v>0</v>
      </c>
      <c r="H40" s="142">
        <f>C40*IF(N_Cat="Tutte",SUM(INDEX(Open_Matrix,5,0)),IFERROR(INDEX(Open_Matrix,5,MATCH(N_Cat,Cat_List,0)),0))</f>
        <v>0</v>
      </c>
      <c r="I40" s="142">
        <f>IF(C40=1,H40+SUMIFS(tblMovimenti[Ricevuti],tblMovimenti[Magazzino],$A40,tblMovimenti[Filtro giacenza],1,tblMovimenti[Data],"&lt;="&amp;$B$25)-SUMIFS(tblMovimenti[Spediti],tblMovimenti[Magazzino],$A40,tblMovimenti[Filtro giacenza],1,tblMovimenti[Data],"&lt;="&amp;$B$25)-SUMIFS(tblMovimenti[Danneggiati],tblMovimenti[Magazzino],$A40,tblMovimenti[Filtro giacenza],1,tblMovimenti[Data],"&lt;="&amp;$B$25),0)</f>
        <v>0</v>
      </c>
      <c r="J40" s="142">
        <f>C40*INDEX(WH_Cap,5)</f>
        <v>0</v>
      </c>
      <c r="K40" s="143">
        <f>IF(J40&gt;0,I40/J40,0)</f>
        <v>0</v>
      </c>
      <c r="L40" s="142">
        <f>SUMIFS(tblMovimenti[Costo stoccaggio],tblMovimenti[Magazzino],$A40,tblMovimenti[Filtro flussi],1,tblMovimenti[Indice mese],"&gt;="&amp;$B$23,tblMovimenti[Indice mese],"&lt;="&amp;$B$24)</f>
        <v>0</v>
      </c>
      <c r="M40" s="142">
        <f>SUMIFS(tblMovimenti[Costo movimentazione],tblMovimenti[Magazzino],$A40,tblMovimenti[Filtro flussi],1,tblMovimenti[Indice mese],"&gt;="&amp;$B$23,tblMovimenti[Indice mese],"&lt;="&amp;$B$24)</f>
        <v>0</v>
      </c>
      <c r="N40" s="142">
        <f>IF(C40=1,H40+SUMIFS(tblMovimenti[Ricevuti],tblMovimenti[Magazzino],$A40,tblMovimenti[Filtro giacenza],1,tblMovimenti[Data],"&lt;="&amp;$B$29)-SUMIFS(tblMovimenti[Spediti],tblMovimenti[Magazzino],$A40,tblMovimenti[Filtro giacenza],1,tblMovimenti[Data],"&lt;="&amp;$B$29)-SUMIFS(tblMovimenti[Danneggiati],tblMovimenti[Magazzino],$A40,tblMovimenti[Filtro giacenza],1,tblMovimenti[Data],"&lt;="&amp;$B$29),0)</f>
        <v>0</v>
      </c>
      <c r="O40" s="142">
        <f>IF(C40=1,H40+SUMIFS(tblMovimenti[Ricevuti],tblMovimenti[Magazzino],$A40,tblMovimenti[Filtro giacenza],1,tblMovimenti[Data],"&lt;="&amp;$B$30)-SUMIFS(tblMovimenti[Spediti],tblMovimenti[Magazzino],$A40,tblMovimenti[Filtro giacenza],1,tblMovimenti[Data],"&lt;="&amp;$B$30)-SUMIFS(tblMovimenti[Danneggiati],tblMovimenti[Magazzino],$A40,tblMovimenti[Filtro giacenza],1,tblMovimenti[Data],"&lt;="&amp;$B$30),0)</f>
        <v>0</v>
      </c>
    </row>
    <row r="41" spans="1:15">
      <c r="A41" s="145" t="s">
        <v>16</v>
      </c>
      <c r="D41" s="142">
        <f>SUM(D36:D40)</f>
        <v>0</v>
      </c>
      <c r="E41" s="142">
        <f>SUM(E36:E40)</f>
        <v>0</v>
      </c>
      <c r="F41" s="142">
        <f>SUM(F36:F40)</f>
        <v>0</v>
      </c>
      <c r="G41" s="142">
        <f>SUM(G36:G40)</f>
        <v>0</v>
      </c>
      <c r="H41" s="142">
        <f>SUM(H36:H40)</f>
        <v>0</v>
      </c>
      <c r="I41" s="142">
        <f>SUM(I36:I40)</f>
        <v>0</v>
      </c>
      <c r="J41" s="142">
        <f>SUM(J36:J40)</f>
        <v>0</v>
      </c>
      <c r="K41" s="143">
        <f>IF(J41&gt;0,I41/J41,0)</f>
        <v>0</v>
      </c>
      <c r="L41" s="142">
        <f>SUM(L36:L40)</f>
        <v>0</v>
      </c>
      <c r="M41" s="142">
        <f>SUM(M36:M40)</f>
        <v>0</v>
      </c>
      <c r="N41" s="142">
        <f>SUM(N36:N40)</f>
        <v>0</v>
      </c>
      <c r="O41" s="142">
        <f>SUM(O36:O40)</f>
        <v>0</v>
      </c>
    </row>
    <row r="43" spans="1:15">
      <c r="A43" s="139" t="s">
        <v>96</v>
      </c>
    </row>
    <row r="44" spans="1:15">
      <c r="A44" s="103" t="s">
        <v>45</v>
      </c>
      <c r="B44" s="103" t="s">
        <v>97</v>
      </c>
      <c r="C44" s="103" t="s">
        <v>23</v>
      </c>
      <c r="D44" s="103" t="s">
        <v>24</v>
      </c>
      <c r="E44" s="103" t="s">
        <v>25</v>
      </c>
      <c r="F44" s="103" t="s">
        <v>98</v>
      </c>
    </row>
    <row r="45" spans="1:15">
      <c r="A45" s="140">
        <f>IF(INDEX(Cat_List,1)="","",INDEX(Cat_List,1))</f>
        <v/>
      </c>
      <c r="B45" s="142">
        <f>--AND(A45&lt;&gt;"",OR(N_Cat="Tutte",A45=N_Cat))</f>
        <v>0</v>
      </c>
      <c r="C45" s="142">
        <f>SUMIFS(tblMovimenti[Ricevuti],tblMovimenti[Categoria],$A45,tblMovimenti[Filtro flussi],1,tblMovimenti[Indice mese],"&gt;="&amp;$B$23,tblMovimenti[Indice mese],"&lt;="&amp;$B$24)</f>
        <v>0</v>
      </c>
      <c r="D45" s="142">
        <f>SUMIFS(tblMovimenti[Spediti],tblMovimenti[Categoria],$A45,tblMovimenti[Filtro flussi],1,tblMovimenti[Indice mese],"&gt;="&amp;$B$23,tblMovimenti[Indice mese],"&lt;="&amp;$B$24)</f>
        <v>0</v>
      </c>
      <c r="E45" s="142">
        <f>SUMIFS(tblMovimenti[Danneggiati],tblMovimenti[Categoria],$A45,tblMovimenti[Filtro flussi],1,tblMovimenti[Indice mese],"&gt;="&amp;$B$23,tblMovimenti[Indice mese],"&lt;="&amp;$B$24)</f>
        <v>0</v>
      </c>
      <c r="F45" s="143">
        <f>IF($C$51&gt;0,C45/$C$51,0)</f>
        <v>0</v>
      </c>
    </row>
    <row r="46" spans="1:15">
      <c r="A46" s="140">
        <f>IF(INDEX(Cat_List,2)="","",INDEX(Cat_List,2))</f>
        <v/>
      </c>
      <c r="B46" s="142">
        <f>--AND(A46&lt;&gt;"",OR(N_Cat="Tutte",A46=N_Cat))</f>
        <v>0</v>
      </c>
      <c r="C46" s="142">
        <f>SUMIFS(tblMovimenti[Ricevuti],tblMovimenti[Categoria],$A46,tblMovimenti[Filtro flussi],1,tblMovimenti[Indice mese],"&gt;="&amp;$B$23,tblMovimenti[Indice mese],"&lt;="&amp;$B$24)</f>
        <v>0</v>
      </c>
      <c r="D46" s="142">
        <f>SUMIFS(tblMovimenti[Spediti],tblMovimenti[Categoria],$A46,tblMovimenti[Filtro flussi],1,tblMovimenti[Indice mese],"&gt;="&amp;$B$23,tblMovimenti[Indice mese],"&lt;="&amp;$B$24)</f>
        <v>0</v>
      </c>
      <c r="E46" s="142">
        <f>SUMIFS(tblMovimenti[Danneggiati],tblMovimenti[Categoria],$A46,tblMovimenti[Filtro flussi],1,tblMovimenti[Indice mese],"&gt;="&amp;$B$23,tblMovimenti[Indice mese],"&lt;="&amp;$B$24)</f>
        <v>0</v>
      </c>
      <c r="F46" s="143">
        <f>IF($C$51&gt;0,C46/$C$51,0)</f>
        <v>0</v>
      </c>
    </row>
    <row r="47" spans="1:15">
      <c r="A47" s="140">
        <f>IF(INDEX(Cat_List,3)="","",INDEX(Cat_List,3))</f>
        <v/>
      </c>
      <c r="B47" s="142">
        <f>--AND(A47&lt;&gt;"",OR(N_Cat="Tutte",A47=N_Cat))</f>
        <v>0</v>
      </c>
      <c r="C47" s="142">
        <f>SUMIFS(tblMovimenti[Ricevuti],tblMovimenti[Categoria],$A47,tblMovimenti[Filtro flussi],1,tblMovimenti[Indice mese],"&gt;="&amp;$B$23,tblMovimenti[Indice mese],"&lt;="&amp;$B$24)</f>
        <v>0</v>
      </c>
      <c r="D47" s="142">
        <f>SUMIFS(tblMovimenti[Spediti],tblMovimenti[Categoria],$A47,tblMovimenti[Filtro flussi],1,tblMovimenti[Indice mese],"&gt;="&amp;$B$23,tblMovimenti[Indice mese],"&lt;="&amp;$B$24)</f>
        <v>0</v>
      </c>
      <c r="E47" s="142">
        <f>SUMIFS(tblMovimenti[Danneggiati],tblMovimenti[Categoria],$A47,tblMovimenti[Filtro flussi],1,tblMovimenti[Indice mese],"&gt;="&amp;$B$23,tblMovimenti[Indice mese],"&lt;="&amp;$B$24)</f>
        <v>0</v>
      </c>
      <c r="F47" s="143">
        <f>IF($C$51&gt;0,C47/$C$51,0)</f>
        <v>0</v>
      </c>
    </row>
    <row r="48" spans="1:15">
      <c r="A48" s="140">
        <f>IF(INDEX(Cat_List,4)="","",INDEX(Cat_List,4))</f>
        <v/>
      </c>
      <c r="B48" s="142">
        <f>--AND(A48&lt;&gt;"",OR(N_Cat="Tutte",A48=N_Cat))</f>
        <v>0</v>
      </c>
      <c r="C48" s="142">
        <f>SUMIFS(tblMovimenti[Ricevuti],tblMovimenti[Categoria],$A48,tblMovimenti[Filtro flussi],1,tblMovimenti[Indice mese],"&gt;="&amp;$B$23,tblMovimenti[Indice mese],"&lt;="&amp;$B$24)</f>
        <v>0</v>
      </c>
      <c r="D48" s="142">
        <f>SUMIFS(tblMovimenti[Spediti],tblMovimenti[Categoria],$A48,tblMovimenti[Filtro flussi],1,tblMovimenti[Indice mese],"&gt;="&amp;$B$23,tblMovimenti[Indice mese],"&lt;="&amp;$B$24)</f>
        <v>0</v>
      </c>
      <c r="E48" s="142">
        <f>SUMIFS(tblMovimenti[Danneggiati],tblMovimenti[Categoria],$A48,tblMovimenti[Filtro flussi],1,tblMovimenti[Indice mese],"&gt;="&amp;$B$23,tblMovimenti[Indice mese],"&lt;="&amp;$B$24)</f>
        <v>0</v>
      </c>
      <c r="F48" s="143">
        <f>IF($C$51&gt;0,C48/$C$51,0)</f>
        <v>0</v>
      </c>
    </row>
    <row r="49" spans="1:7">
      <c r="A49" s="140">
        <f>IF(INDEX(Cat_List,5)="","",INDEX(Cat_List,5))</f>
        <v/>
      </c>
      <c r="B49" s="142">
        <f>--AND(A49&lt;&gt;"",OR(N_Cat="Tutte",A49=N_Cat))</f>
        <v>0</v>
      </c>
      <c r="C49" s="142">
        <f>SUMIFS(tblMovimenti[Ricevuti],tblMovimenti[Categoria],$A49,tblMovimenti[Filtro flussi],1,tblMovimenti[Indice mese],"&gt;="&amp;$B$23,tblMovimenti[Indice mese],"&lt;="&amp;$B$24)</f>
        <v>0</v>
      </c>
      <c r="D49" s="142">
        <f>SUMIFS(tblMovimenti[Spediti],tblMovimenti[Categoria],$A49,tblMovimenti[Filtro flussi],1,tblMovimenti[Indice mese],"&gt;="&amp;$B$23,tblMovimenti[Indice mese],"&lt;="&amp;$B$24)</f>
        <v>0</v>
      </c>
      <c r="E49" s="142">
        <f>SUMIFS(tblMovimenti[Danneggiati],tblMovimenti[Categoria],$A49,tblMovimenti[Filtro flussi],1,tblMovimenti[Indice mese],"&gt;="&amp;$B$23,tblMovimenti[Indice mese],"&lt;="&amp;$B$24)</f>
        <v>0</v>
      </c>
      <c r="F49" s="143">
        <f>IF($C$51&gt;0,C49/$C$51,0)</f>
        <v>0</v>
      </c>
    </row>
    <row r="50" spans="1:7">
      <c r="A50" s="140">
        <f>IF(INDEX(Cat_List,6)="","",INDEX(Cat_List,6))</f>
        <v/>
      </c>
      <c r="B50" s="142">
        <f>--AND(A50&lt;&gt;"",OR(N_Cat="Tutte",A50=N_Cat))</f>
        <v>0</v>
      </c>
      <c r="C50" s="142">
        <f>SUMIFS(tblMovimenti[Ricevuti],tblMovimenti[Categoria],$A50,tblMovimenti[Filtro flussi],1,tblMovimenti[Indice mese],"&gt;="&amp;$B$23,tblMovimenti[Indice mese],"&lt;="&amp;$B$24)</f>
        <v>0</v>
      </c>
      <c r="D50" s="142">
        <f>SUMIFS(tblMovimenti[Spediti],tblMovimenti[Categoria],$A50,tblMovimenti[Filtro flussi],1,tblMovimenti[Indice mese],"&gt;="&amp;$B$23,tblMovimenti[Indice mese],"&lt;="&amp;$B$24)</f>
        <v>0</v>
      </c>
      <c r="E50" s="142">
        <f>SUMIFS(tblMovimenti[Danneggiati],tblMovimenti[Categoria],$A50,tblMovimenti[Filtro flussi],1,tblMovimenti[Indice mese],"&gt;="&amp;$B$23,tblMovimenti[Indice mese],"&lt;="&amp;$B$24)</f>
        <v>0</v>
      </c>
      <c r="F50" s="143">
        <f>IF($C$51&gt;0,C50/$C$51,0)</f>
        <v>0</v>
      </c>
    </row>
    <row r="51" spans="1:7">
      <c r="A51" s="145" t="s">
        <v>16</v>
      </c>
      <c r="C51" s="142">
        <f>SUM(C45:C50)</f>
        <v>0</v>
      </c>
      <c r="D51" s="142">
        <f>SUM(D45:D50)</f>
        <v>0</v>
      </c>
      <c r="E51" s="142">
        <f>SUM(E45:E50)</f>
        <v>0</v>
      </c>
    </row>
    <row r="53" spans="1:7">
      <c r="A53" s="139" t="s">
        <v>99</v>
      </c>
    </row>
    <row r="54" spans="1:7">
      <c r="A54" s="103" t="s">
        <v>76</v>
      </c>
      <c r="B54" s="103" t="s">
        <v>77</v>
      </c>
      <c r="C54" s="103" t="s">
        <v>23</v>
      </c>
      <c r="D54" s="103" t="s">
        <v>24</v>
      </c>
      <c r="E54" s="103" t="s">
        <v>25</v>
      </c>
      <c r="F54" s="103" t="s">
        <v>22</v>
      </c>
      <c r="G54" s="103" t="s">
        <v>100</v>
      </c>
    </row>
    <row r="55" spans="1:7">
      <c r="A55" s="142">
        <v>1</v>
      </c>
      <c r="B55" s="140" t="str">
        <f>C15</f>
        <v>Lug-26</v>
      </c>
      <c r="C55" s="142">
        <f>SUMIFS(tblMovimenti[Ricevuti],tblMovimenti[Indice mese],$A55,tblMovimenti[Filtro flussi],1)</f>
        <v>0</v>
      </c>
      <c r="D55" s="142">
        <f>SUMIFS(tblMovimenti[Spediti],tblMovimenti[Indice mese],$A55,tblMovimenti[Filtro flussi],1)</f>
        <v>0</v>
      </c>
      <c r="E55" s="142">
        <f>SUMIFS(tblMovimenti[Danneggiati],tblMovimenti[Indice mese],$A55,tblMovimenti[Filtro flussi],1)</f>
        <v>0</v>
      </c>
      <c r="F55" s="142">
        <f>COUNTIFS(tblMovimenti[Indice mese],$A55,tblMovimenti[Filtro flussi],1)</f>
        <v>0</v>
      </c>
      <c r="G55" s="142">
        <f>--($B$22=A55)</f>
        <v>0</v>
      </c>
    </row>
    <row r="56" spans="1:7">
      <c r="A56" s="142">
        <v>2</v>
      </c>
      <c r="B56" s="140" t="str">
        <f>C16</f>
        <v>Ago-26</v>
      </c>
      <c r="C56" s="142">
        <f>SUMIFS(tblMovimenti[Ricevuti],tblMovimenti[Indice mese],$A56,tblMovimenti[Filtro flussi],1)</f>
        <v>0</v>
      </c>
      <c r="D56" s="142">
        <f>SUMIFS(tblMovimenti[Spediti],tblMovimenti[Indice mese],$A56,tblMovimenti[Filtro flussi],1)</f>
        <v>0</v>
      </c>
      <c r="E56" s="142">
        <f>SUMIFS(tblMovimenti[Danneggiati],tblMovimenti[Indice mese],$A56,tblMovimenti[Filtro flussi],1)</f>
        <v>0</v>
      </c>
      <c r="F56" s="142">
        <f>COUNTIFS(tblMovimenti[Indice mese],$A56,tblMovimenti[Filtro flussi],1)</f>
        <v>0</v>
      </c>
      <c r="G56" s="142">
        <f>--($B$22=A56)</f>
        <v>0</v>
      </c>
    </row>
    <row r="57" spans="1:7">
      <c r="A57" s="142">
        <v>3</v>
      </c>
      <c r="B57" s="140" t="str">
        <f>C17</f>
        <v>Set-26</v>
      </c>
      <c r="C57" s="142">
        <f>SUMIFS(tblMovimenti[Ricevuti],tblMovimenti[Indice mese],$A57,tblMovimenti[Filtro flussi],1)</f>
        <v>0</v>
      </c>
      <c r="D57" s="142">
        <f>SUMIFS(tblMovimenti[Spediti],tblMovimenti[Indice mese],$A57,tblMovimenti[Filtro flussi],1)</f>
        <v>0</v>
      </c>
      <c r="E57" s="142">
        <f>SUMIFS(tblMovimenti[Danneggiati],tblMovimenti[Indice mese],$A57,tblMovimenti[Filtro flussi],1)</f>
        <v>0</v>
      </c>
      <c r="F57" s="142">
        <f>COUNTIFS(tblMovimenti[Indice mese],$A57,tblMovimenti[Filtro flussi],1)</f>
        <v>0</v>
      </c>
      <c r="G57" s="142">
        <f>--($B$22=A57)</f>
        <v>0</v>
      </c>
    </row>
    <row r="58" spans="1:7">
      <c r="A58" s="142">
        <v>4</v>
      </c>
      <c r="B58" s="140" t="str">
        <f>C18</f>
        <v>Ott-26</v>
      </c>
      <c r="C58" s="142">
        <f>SUMIFS(tblMovimenti[Ricevuti],tblMovimenti[Indice mese],$A58,tblMovimenti[Filtro flussi],1)</f>
        <v>0</v>
      </c>
      <c r="D58" s="142">
        <f>SUMIFS(tblMovimenti[Spediti],tblMovimenti[Indice mese],$A58,tblMovimenti[Filtro flussi],1)</f>
        <v>0</v>
      </c>
      <c r="E58" s="142">
        <f>SUMIFS(tblMovimenti[Danneggiati],tblMovimenti[Indice mese],$A58,tblMovimenti[Filtro flussi],1)</f>
        <v>0</v>
      </c>
      <c r="F58" s="142">
        <f>COUNTIFS(tblMovimenti[Indice mese],$A58,tblMovimenti[Filtro flussi],1)</f>
        <v>0</v>
      </c>
      <c r="G58" s="142">
        <f>--($B$22=A58)</f>
        <v>0</v>
      </c>
    </row>
    <row r="59" spans="1:7">
      <c r="A59" s="142">
        <v>5</v>
      </c>
      <c r="B59" s="140" t="str">
        <f>C19</f>
        <v>Nov-26</v>
      </c>
      <c r="C59" s="142">
        <f>SUMIFS(tblMovimenti[Ricevuti],tblMovimenti[Indice mese],$A59,tblMovimenti[Filtro flussi],1)</f>
        <v>0</v>
      </c>
      <c r="D59" s="142">
        <f>SUMIFS(tblMovimenti[Spediti],tblMovimenti[Indice mese],$A59,tblMovimenti[Filtro flussi],1)</f>
        <v>0</v>
      </c>
      <c r="E59" s="142">
        <f>SUMIFS(tblMovimenti[Danneggiati],tblMovimenti[Indice mese],$A59,tblMovimenti[Filtro flussi],1)</f>
        <v>0</v>
      </c>
      <c r="F59" s="142">
        <f>COUNTIFS(tblMovimenti[Indice mese],$A59,tblMovimenti[Filtro flussi],1)</f>
        <v>0</v>
      </c>
      <c r="G59" s="142">
        <f>--($B$22=A59)</f>
        <v>0</v>
      </c>
    </row>
    <row r="60" spans="1:7">
      <c r="A60" s="142">
        <v>6</v>
      </c>
      <c r="B60" s="140" t="str">
        <f>C20</f>
        <v>Dic-26</v>
      </c>
      <c r="C60" s="142">
        <f>SUMIFS(tblMovimenti[Ricevuti],tblMovimenti[Indice mese],$A60,tblMovimenti[Filtro flussi],1)</f>
        <v>0</v>
      </c>
      <c r="D60" s="142">
        <f>SUMIFS(tblMovimenti[Spediti],tblMovimenti[Indice mese],$A60,tblMovimenti[Filtro flussi],1)</f>
        <v>0</v>
      </c>
      <c r="E60" s="142">
        <f>SUMIFS(tblMovimenti[Danneggiati],tblMovimenti[Indice mese],$A60,tblMovimenti[Filtro flussi],1)</f>
        <v>0</v>
      </c>
      <c r="F60" s="142">
        <f>COUNTIFS(tblMovimenti[Indice mese],$A60,tblMovimenti[Filtro flussi],1)</f>
        <v>0</v>
      </c>
      <c r="G60" s="142">
        <f>--($B$22=A60)</f>
        <v>0</v>
      </c>
    </row>
    <row r="61" spans="1:7">
      <c r="A61" s="145" t="s">
        <v>16</v>
      </c>
      <c r="C61" s="142">
        <f>SUM(C55:C60)</f>
        <v>0</v>
      </c>
      <c r="D61" s="142">
        <f>SUM(D55:D60)</f>
        <v>0</v>
      </c>
      <c r="E61" s="142">
        <f>SUM(E55:E60)</f>
        <v>0</v>
      </c>
      <c r="F61" s="142">
        <f>SUM(F55:F60)</f>
        <v>0</v>
      </c>
    </row>
    <row r="63" spans="1:7">
      <c r="A63" s="139" t="s">
        <v>101</v>
      </c>
    </row>
    <row r="64" spans="1:7">
      <c r="A64" s="141" t="s">
        <v>23</v>
      </c>
      <c r="B64" s="142">
        <f>E41</f>
        <v>0</v>
      </c>
    </row>
    <row r="65" spans="1:2">
      <c r="A65" s="141" t="s">
        <v>24</v>
      </c>
      <c r="B65" s="142">
        <f>F41</f>
        <v>0</v>
      </c>
    </row>
    <row r="66" spans="1:2">
      <c r="A66" s="141" t="s">
        <v>93</v>
      </c>
      <c r="B66" s="142">
        <f>I41</f>
        <v>0</v>
      </c>
    </row>
    <row r="67" spans="1:2">
      <c r="A67" s="141" t="s">
        <v>25</v>
      </c>
      <c r="B67" s="142">
        <f>G41</f>
        <v>0</v>
      </c>
    </row>
    <row r="68" spans="1:2">
      <c r="A68" s="141" t="s">
        <v>102</v>
      </c>
      <c r="B68" s="143">
        <f>K41</f>
        <v>0</v>
      </c>
    </row>
    <row r="69" spans="1:2">
      <c r="A69" s="141" t="s">
        <v>30</v>
      </c>
      <c r="B69" s="142">
        <f>L41</f>
        <v>0</v>
      </c>
    </row>
    <row r="70" spans="1:2">
      <c r="A70" s="141" t="s">
        <v>31</v>
      </c>
      <c r="B70" s="142">
        <f>M41</f>
        <v>0</v>
      </c>
    </row>
    <row r="71" spans="1:2">
      <c r="A71" s="141" t="s">
        <v>103</v>
      </c>
      <c r="B71" s="142">
        <f>J41</f>
        <v>0</v>
      </c>
    </row>
    <row r="72" spans="1:2">
      <c r="A72" s="141" t="s">
        <v>26</v>
      </c>
      <c r="B72" s="143">
        <f>IF(B64&gt;0,B67/B64,0)</f>
        <v>0</v>
      </c>
    </row>
    <row r="73" spans="1:2">
      <c r="A73" s="141" t="s">
        <v>22</v>
      </c>
      <c r="B73" s="142">
        <f>D41</f>
        <v>0</v>
      </c>
    </row>
    <row r="75" spans="1:2">
      <c r="A75" s="141" t="s">
        <v>104</v>
      </c>
      <c r="B75" s="142">
        <f>SUMIFS(tblMovimenti[Ricevuti],tblMovimenti[Filtro flussi],1,tblMovimenti[Inizio mese],$B$27)</f>
        <v>0</v>
      </c>
    </row>
    <row r="76" spans="1:2">
      <c r="A76" s="141" t="s">
        <v>105</v>
      </c>
      <c r="B76" s="142">
        <f>SUMIFS(tblMovimenti[Ricevuti],tblMovimenti[Filtro flussi],1,tblMovimenti[Inizio mese],$B$28)</f>
        <v>0</v>
      </c>
    </row>
    <row r="77" spans="1:2">
      <c r="A77" s="141" t="s">
        <v>106</v>
      </c>
      <c r="B77" s="142">
        <f>SUMIFS(tblMovimenti[Spediti],tblMovimenti[Filtro flussi],1,tblMovimenti[Inizio mese],$B$27)</f>
        <v>0</v>
      </c>
    </row>
    <row r="78" spans="1:2">
      <c r="A78" s="141" t="s">
        <v>107</v>
      </c>
      <c r="B78" s="142">
        <f>SUMIFS(tblMovimenti[Spediti],tblMovimenti[Filtro flussi],1,tblMovimenti[Inizio mese],$B$28)</f>
        <v>0</v>
      </c>
    </row>
    <row r="79" spans="1:2">
      <c r="A79" s="141" t="s">
        <v>108</v>
      </c>
      <c r="B79" s="142">
        <f>SUMIFS(tblMovimenti[Danneggiati],tblMovimenti[Filtro flussi],1,tblMovimenti[Inizio mese],$B$27)</f>
        <v>0</v>
      </c>
    </row>
    <row r="80" spans="1:2">
      <c r="A80" s="141" t="s">
        <v>109</v>
      </c>
      <c r="B80" s="142">
        <f>SUMIFS(tblMovimenti[Danneggiati],tblMovimenti[Filtro flussi],1,tblMovimenti[Inizio mese],$B$28)</f>
        <v>0</v>
      </c>
    </row>
    <row r="81" spans="1:2">
      <c r="A81" s="141" t="s">
        <v>94</v>
      </c>
      <c r="B81" s="142">
        <f>N41</f>
        <v>0</v>
      </c>
    </row>
    <row r="82" spans="1:2">
      <c r="A82" s="141" t="s">
        <v>95</v>
      </c>
      <c r="B82" s="142">
        <f>O41</f>
        <v>0</v>
      </c>
    </row>
    <row r="83" spans="1:2">
      <c r="A83" s="141" t="s">
        <v>110</v>
      </c>
      <c r="B83" s="143">
        <f>IF(J41&gt;0,N41/J41,0)</f>
        <v>0</v>
      </c>
    </row>
    <row r="84" spans="1:2">
      <c r="A84" s="141" t="s">
        <v>111</v>
      </c>
      <c r="B84" s="143">
        <f>IF(J41&gt;0,O41/J41,0)</f>
        <v>0</v>
      </c>
    </row>
    <row r="86" spans="1:2">
      <c r="A86" s="141" t="s">
        <v>112</v>
      </c>
      <c r="B86" s="143">
        <f>IF(B76&gt;0,B75/B76-1,"")</f>
        <v/>
      </c>
    </row>
    <row r="87" spans="1:2">
      <c r="A87" s="141" t="s">
        <v>113</v>
      </c>
      <c r="B87" s="143">
        <f>IF(B78&gt;0,B77/B78-1,"")</f>
        <v/>
      </c>
    </row>
    <row r="88" spans="1:2">
      <c r="A88" s="141" t="s">
        <v>114</v>
      </c>
      <c r="B88" s="143">
        <f>IF(B82&gt;0,B81/B82-1,"")</f>
        <v/>
      </c>
    </row>
    <row r="89" spans="1:2">
      <c r="A89" s="141" t="s">
        <v>115</v>
      </c>
      <c r="B89" s="143">
        <f>IF(B80&gt;0,B79/B80-1,"")</f>
        <v/>
      </c>
    </row>
    <row r="90" spans="1:2">
      <c r="A90" s="141" t="s">
        <v>116</v>
      </c>
      <c r="B90" s="146">
        <f>IF(J41&gt;0,(B83-B84)*100,"")</f>
        <v/>
      </c>
    </row>
    <row r="91" spans="1:2">
      <c r="A91" s="141" t="s">
        <v>117</v>
      </c>
      <c r="B91" s="140" t="str">
        <f>IF($B$22=0,$B$31&amp;" vs "&amp;$B$32,"vs "&amp;$B$32)</f>
        <v>Dic-26 vs Nov-26</v>
      </c>
    </row>
    <row r="93" spans="1:2">
      <c r="A93" s="139" t="s">
        <v>118</v>
      </c>
    </row>
    <row r="94" spans="1:2">
      <c r="A94" s="141" t="s">
        <v>57</v>
      </c>
      <c r="B94" s="142">
        <f>COUNTIFS(tblMovimenti[Utilizzo alto],1,tblMovimenti[Filtro giacenza],1,tblMovimenti[Indice mese],"&gt;="&amp;$B$23,tblMovimenti[Indice mese],"&lt;="&amp;$B$24)</f>
        <v>0</v>
      </c>
    </row>
    <row r="95" spans="1:2">
      <c r="A95" s="141" t="s">
        <v>56</v>
      </c>
      <c r="B95" s="142">
        <f>COUNTIFS(tblMovimenti[Danni elevati],1,tblMovimenti[Filtro giacenza],1,tblMovimenti[Indice mese],"&gt;="&amp;$B$23,tblMovimenti[Indice mese],"&lt;="&amp;$B$24)</f>
        <v>0</v>
      </c>
    </row>
    <row r="96" spans="1:2">
      <c r="A96" s="141" t="s">
        <v>55</v>
      </c>
      <c r="B96" s="142">
        <f>COUNTIFS(tblMovimenti[Scorta bassa],1,tblMovimenti[Filtro giacenza],1,tblMovimenti[Indice mese],"&gt;="&amp;$B$23,tblMovimenti[Indice mese],"&lt;="&amp;$B$24)</f>
        <v>0</v>
      </c>
    </row>
    <row r="97" spans="1:2">
      <c r="A97" s="141" t="s">
        <v>119</v>
      </c>
      <c r="B97" s="142">
        <f>IF(SUM(B94:B96)=0,1,0)</f>
        <v>1</v>
      </c>
    </row>
    <row r="98" spans="1:2">
      <c r="A98" s="141" t="s">
        <v>120</v>
      </c>
      <c r="B98" s="142">
        <f>COUNTIFS(tblMovimenti[Filtro giacenza],1,tblMovimenti[Indice mese],"&gt;="&amp;$B$23,tblMovimenti[Indice mese],"&lt;="&amp;$B$24)</f>
        <v>0</v>
      </c>
    </row>
    <row r="99" spans="1:2">
      <c r="A99" s="141" t="s">
        <v>121</v>
      </c>
      <c r="B99" s="142">
        <f>COUNTIFS(tblMovimenti[Stato],"Critico",tblMovimenti[Filtro giacenza],1,tblMovimenti[Indice mese],"&gt;="&amp;$B$23,tblMovimenti[Indice mese],"&lt;="&amp;$B$24)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35</vt:i4>
      </vt:variant>
    </vt:vector>
  </HeadingPairs>
  <TitlesOfParts>
    <vt:vector size="40" baseType="lpstr">
      <vt:lpstr>Dashboard</vt:lpstr>
      <vt:lpstr>Dati Magazzino</vt:lpstr>
      <vt:lpstr>Anagrafica Prodotti</vt:lpstr>
      <vt:lpstr>Riepilogo Magazzini</vt:lpstr>
      <vt:lpstr>Calcoli</vt:lpstr>
      <vt:lpstr>Cat_DV</vt:lpstr>
      <vt:lpstr>Cat_List</vt:lpstr>
      <vt:lpstr>F_Cat</vt:lpstr>
      <vt:lpstr>F_City</vt:lpstr>
      <vt:lpstr>F_Month</vt:lpstr>
      <vt:lpstr>F_Status</vt:lpstr>
      <vt:lpstr>F_WH</vt:lpstr>
      <vt:lpstr>L_Cat</vt:lpstr>
      <vt:lpstr>L_City</vt:lpstr>
      <vt:lpstr>L_Month</vt:lpstr>
      <vt:lpstr>L_Prod</vt:lpstr>
      <vt:lpstr>L_Status</vt:lpstr>
      <vt:lpstr>L_WH</vt:lpstr>
      <vt:lpstr>Month_Labels</vt:lpstr>
      <vt:lpstr>Month_Starts</vt:lpstr>
      <vt:lpstr>N_Cat</vt:lpstr>
      <vt:lpstr>N_City</vt:lpstr>
      <vt:lpstr>N_Dmg</vt:lpstr>
      <vt:lpstr>N_Month</vt:lpstr>
      <vt:lpstr>N_Status</vt:lpstr>
      <vt:lpstr>N_Stock</vt:lpstr>
      <vt:lpstr>N_Util</vt:lpstr>
      <vt:lpstr>N_WH</vt:lpstr>
      <vt:lpstr>Open_Matrix</vt:lpstr>
      <vt:lpstr>Period_Start</vt:lpstr>
      <vt:lpstr>Dashboard!Print_Area</vt:lpstr>
      <vt:lpstr>'Dati Magazzino'!Print_Titles</vt:lpstr>
      <vt:lpstr>Thr_Dmg</vt:lpstr>
      <vt:lpstr>Thr_Stock</vt:lpstr>
      <vt:lpstr>Thr_Util</vt:lpstr>
      <vt:lpstr>WH_Cap</vt:lpstr>
      <vt:lpstr>WH_City</vt:lpstr>
      <vt:lpstr>WH_Code</vt:lpstr>
      <vt:lpstr>WH_List</vt:lpstr>
      <vt:lpstr>WH_Open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Dashboard Gestione Magazzino</dc:title>
  <dc:subject>Dashboard KPI di magazzino</dc:subject>
  <dc:creator/>
  <dc:description>Modello vuoto da compilare. Icone: Tabler Icons (MIT).</dc:description>
  <cp:lastModifiedBy/>
  <dcterms:created xsi:type="dcterms:W3CDTF">2026-09-29T16:29:37Z</dcterms:created>
  <dcterms:modified xsi:type="dcterms:W3CDTF">2026-09-29T16:29:37Z</dcterms:modified>
</cp:coreProperties>
</file>